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0" windowWidth="11385" windowHeight="6540" activeTab="0"/>
  </bookViews>
  <sheets>
    <sheet name="PUBLICAÇÃO TODOS" sheetId="1" r:id="rId1"/>
  </sheets>
  <definedNames>
    <definedName name="_xlnm.Print_Area" localSheetId="0">'PUBLICAÇÃO TODOS'!$A$1:$S$132</definedName>
    <definedName name="_xlnm.Print_Titles" localSheetId="0">'PUBLICAÇÃO TODOS'!$1:$13</definedName>
  </definedNames>
  <calcPr fullCalcOnLoad="1"/>
</workbook>
</file>

<file path=xl/sharedStrings.xml><?xml version="1.0" encoding="utf-8"?>
<sst xmlns="http://schemas.openxmlformats.org/spreadsheetml/2006/main" count="151" uniqueCount="95">
  <si>
    <t>CÓD.</t>
  </si>
  <si>
    <t>DESPESAS</t>
  </si>
  <si>
    <t>Inicial</t>
  </si>
  <si>
    <t>Atualizada</t>
  </si>
  <si>
    <t>LEGISLATIVA</t>
  </si>
  <si>
    <t>ADMINISTRAÇÃO</t>
  </si>
  <si>
    <t>Administração Geral</t>
  </si>
  <si>
    <t>Administração de Receitas</t>
  </si>
  <si>
    <t>URBANISMO</t>
  </si>
  <si>
    <t>DEFESA NACIONAL</t>
  </si>
  <si>
    <t>SEGURANÇA PÚBLICA</t>
  </si>
  <si>
    <t>Alimentação e Nutrição</t>
  </si>
  <si>
    <t>CULTURA</t>
  </si>
  <si>
    <t>Difusão Cultural</t>
  </si>
  <si>
    <t>SANEAMENTO</t>
  </si>
  <si>
    <t>TRABALHO</t>
  </si>
  <si>
    <t>HABITAÇÃO</t>
  </si>
  <si>
    <t>Assistência Comunitária</t>
  </si>
  <si>
    <t>TRANSPORTE</t>
  </si>
  <si>
    <t>TOTAL</t>
  </si>
  <si>
    <t>Promoção Industrial</t>
  </si>
  <si>
    <t>Dotação Anual</t>
  </si>
  <si>
    <t>1º Bimestre</t>
  </si>
  <si>
    <t>2º Bimestre</t>
  </si>
  <si>
    <t>3º Bimestre</t>
  </si>
  <si>
    <t>4º Bimestre</t>
  </si>
  <si>
    <t>5º Bimestre</t>
  </si>
  <si>
    <t>6º Bimestre</t>
  </si>
  <si>
    <t>Acumulado</t>
  </si>
  <si>
    <t>Funções/Subfunções</t>
  </si>
  <si>
    <t>Empenhado</t>
  </si>
  <si>
    <t>Liquidado</t>
  </si>
  <si>
    <t>A empenhar</t>
  </si>
  <si>
    <t>Planejamento e Orçamento</t>
  </si>
  <si>
    <t>Administração Financeira</t>
  </si>
  <si>
    <t>Normatização e Fiscalização</t>
  </si>
  <si>
    <t>Tecnologia da Informação</t>
  </si>
  <si>
    <t>Formação de Recursos Humanos</t>
  </si>
  <si>
    <t>Defesa Terrestre</t>
  </si>
  <si>
    <t>Policiamento</t>
  </si>
  <si>
    <t>Defesa Civil</t>
  </si>
  <si>
    <t>Informação e Inteligência</t>
  </si>
  <si>
    <t>ASSISTÊNCIA SOCIAL</t>
  </si>
  <si>
    <t>Assistência ao Idoso</t>
  </si>
  <si>
    <t>Assist. ao Portador de Deficiência</t>
  </si>
  <si>
    <t>Assist. à Criança e ao Adolescente</t>
  </si>
  <si>
    <t>PREVIDÊNCIA SOCIAL</t>
  </si>
  <si>
    <t>Previdência Básica</t>
  </si>
  <si>
    <t>Previdência do Regime Estatutário</t>
  </si>
  <si>
    <t>SAÚDE</t>
  </si>
  <si>
    <t>Atenção Básica</t>
  </si>
  <si>
    <t>Assistência Hospitalar e Ambulatorial</t>
  </si>
  <si>
    <t>Suporte Profilático e Terapêutico</t>
  </si>
  <si>
    <t>Vigilância Sanitária</t>
  </si>
  <si>
    <t>Proteção e Benefícios ao Trabalhador</t>
  </si>
  <si>
    <t>Relações de Trabalho</t>
  </si>
  <si>
    <t>Fomento ao Trabalho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</si>
  <si>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</si>
  <si>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</si>
  <si>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</si>
  <si>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</si>
  <si>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</si>
  <si>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</si>
  <si>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Patr. Histórico, Artístico e Arqueológico</t>
  </si>
  <si>
    <t>Direitos Individuais, Coletivos e Difusos</t>
  </si>
  <si>
    <t>Infra-Estrutura Urbana</t>
  </si>
  <si>
    <t>Serviços Urbanos</t>
  </si>
  <si>
    <t>Transportes Coletivos Urbanos</t>
  </si>
  <si>
    <t>Habitação Urbana</t>
  </si>
  <si>
    <t>Saneamento Básico Urbano</t>
  </si>
  <si>
    <t>GESTÃO AMBIENTAL</t>
  </si>
  <si>
    <t>Preservação e Conservação Ambiental</t>
  </si>
  <si>
    <t>Controle Ambiental</t>
  </si>
  <si>
    <t>Promoção da Produção Vegetal</t>
  </si>
  <si>
    <t>Abastecimento</t>
  </si>
  <si>
    <t>INDÚSTRIA</t>
  </si>
  <si>
    <t>COMÉRCIO E SERVIÇOS</t>
  </si>
  <si>
    <t>Promoção Comercial</t>
  </si>
  <si>
    <t>Comércio Exterior</t>
  </si>
  <si>
    <t>Turismo</t>
  </si>
  <si>
    <t>DESPORTO E LAZER</t>
  </si>
  <si>
    <t>Desporto de Rendimento</t>
  </si>
  <si>
    <t>Desporto Comunitário</t>
  </si>
  <si>
    <t>Lazer</t>
  </si>
  <si>
    <t>ENCARGOS ESPECIAIS</t>
  </si>
  <si>
    <t>Refinanciamento da Dívida Interna</t>
  </si>
  <si>
    <t>Serviço da Dívida Interna</t>
  </si>
  <si>
    <t>Outros Encargos Especiais</t>
  </si>
  <si>
    <t>RELATÓRIO RESUMIDO DA EXECUÇÃO ORÇAMENTÁRIA</t>
  </si>
  <si>
    <t>(Artigo 52, Inciso II, alínea “c” da  LC. 101/00)</t>
  </si>
  <si>
    <t>ADMINISTRAÇÃO DIRETA E INDIRETA</t>
  </si>
  <si>
    <t>MUNICÍPIO : GUARULHOS</t>
  </si>
  <si>
    <t>Modelo 2</t>
  </si>
  <si>
    <t>DIREITOS DA CIDADANIA</t>
  </si>
  <si>
    <t>PERÍODO : 5º BIMESTRE/2002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</si>
</sst>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1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1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/>
      <protection hidden="1"/>
    </xf>
    <xf numFmtId="4" fontId="5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4" fontId="3" fillId="0" borderId="1" xfId="0" applyNumberFormat="1" applyFont="1" applyBorder="1" applyAlignment="1" applyProtection="1">
      <alignment/>
      <protection locked="0"/>
    </xf>
    <xf numFmtId="4" fontId="3" fillId="0" borderId="1" xfId="0" applyNumberFormat="1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4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1</xdr:col>
      <xdr:colOff>923925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workbookViewId="0" topLeftCell="A1">
      <selection activeCell="B136" sqref="B136:C136"/>
    </sheetView>
  </sheetViews>
  <sheetFormatPr defaultColWidth="9.140625" defaultRowHeight="12.75"/>
  <cols>
    <col min="1" max="1" width="6.421875" style="3" customWidth="1"/>
    <col min="2" max="2" width="37.00390625" style="3" customWidth="1"/>
    <col min="3" max="4" width="15.57421875" style="3" customWidth="1"/>
    <col min="5" max="12" width="15.57421875" style="3" hidden="1" customWidth="1"/>
    <col min="13" max="14" width="15.57421875" style="3" customWidth="1"/>
    <col min="15" max="16" width="15.57421875" style="3" hidden="1" customWidth="1"/>
    <col min="17" max="18" width="15.57421875" style="3" customWidth="1"/>
    <col min="19" max="19" width="17.8515625" style="3" customWidth="1"/>
    <col min="20" max="20" width="9.8515625" style="3" customWidth="1"/>
    <col min="21" max="16384" width="9.140625" style="3" customWidth="1"/>
  </cols>
  <sheetData>
    <row r="1" spans="1:19" ht="12.75">
      <c r="A1"/>
      <c r="B1"/>
      <c r="C1"/>
      <c r="D1"/>
      <c r="E1"/>
      <c r="F1"/>
      <c r="G1"/>
      <c r="H1" s="25"/>
      <c r="I1"/>
      <c r="S1" s="3" t="s">
        <v>92</v>
      </c>
    </row>
    <row r="2" spans="1:9" ht="12.75">
      <c r="A2"/>
      <c r="B2"/>
      <c r="C2"/>
      <c r="D2"/>
      <c r="E2"/>
      <c r="F2"/>
      <c r="G2"/>
      <c r="H2"/>
      <c r="I2"/>
    </row>
    <row r="3" spans="1:19" ht="19.5">
      <c r="A3" s="30" t="s">
        <v>88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2.75">
      <c r="A4" s="31" t="s">
        <v>89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9" ht="12.75">
      <c r="A5" s="26"/>
      <c r="B5"/>
      <c r="C5"/>
      <c r="D5"/>
      <c r="E5"/>
      <c r="F5"/>
      <c r="G5"/>
      <c r="H5"/>
      <c r="I5"/>
    </row>
    <row r="6" spans="1:19" ht="12.75">
      <c r="A6" s="32" t="s">
        <v>90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9" ht="12.75">
      <c r="A7" s="27"/>
      <c r="B7"/>
      <c r="C7"/>
      <c r="D7"/>
      <c r="E7"/>
      <c r="F7"/>
      <c r="G7"/>
      <c r="H7"/>
      <c r="I7"/>
    </row>
    <row r="8" spans="1:9" ht="12.75">
      <c r="A8" s="26" t="s">
        <v>91</v>
      </c>
      <c r="B8" s="26"/>
      <c r="C8"/>
      <c r="D8"/>
      <c r="E8"/>
      <c r="F8"/>
      <c r="G8"/>
      <c r="H8"/>
      <c r="I8"/>
    </row>
    <row r="9" spans="1:9" ht="12.75">
      <c r="A9" s="28"/>
      <c r="B9"/>
      <c r="C9"/>
      <c r="D9"/>
      <c r="E9"/>
      <c r="F9"/>
      <c r="G9"/>
      <c r="H9"/>
      <c r="I9"/>
    </row>
    <row r="10" spans="1:9" ht="12.75">
      <c r="A10" s="26" t="s">
        <v>94</v>
      </c>
      <c r="B10" s="26"/>
      <c r="C10"/>
      <c r="D10"/>
      <c r="E10"/>
      <c r="F10"/>
      <c r="G10"/>
      <c r="H10"/>
      <c r="I10"/>
    </row>
    <row r="12" spans="1:19" ht="12.75">
      <c r="A12" s="34" t="s">
        <v>0</v>
      </c>
      <c r="B12" s="2" t="s">
        <v>1</v>
      </c>
      <c r="C12" s="33" t="s">
        <v>21</v>
      </c>
      <c r="D12" s="33"/>
      <c r="E12" s="33" t="s">
        <v>22</v>
      </c>
      <c r="F12" s="33"/>
      <c r="G12" s="33" t="s">
        <v>23</v>
      </c>
      <c r="H12" s="33"/>
      <c r="I12" s="33" t="s">
        <v>24</v>
      </c>
      <c r="J12" s="33"/>
      <c r="K12" s="33" t="s">
        <v>25</v>
      </c>
      <c r="L12" s="33"/>
      <c r="M12" s="33" t="s">
        <v>26</v>
      </c>
      <c r="N12" s="33"/>
      <c r="O12" s="33" t="s">
        <v>27</v>
      </c>
      <c r="P12" s="33"/>
      <c r="Q12" s="33" t="s">
        <v>28</v>
      </c>
      <c r="R12" s="33"/>
      <c r="S12" s="33"/>
    </row>
    <row r="13" spans="1:19" ht="12.75">
      <c r="A13" s="34"/>
      <c r="B13" s="2" t="s">
        <v>29</v>
      </c>
      <c r="C13" s="2" t="s">
        <v>2</v>
      </c>
      <c r="D13" s="2" t="s">
        <v>3</v>
      </c>
      <c r="E13" s="2" t="s">
        <v>30</v>
      </c>
      <c r="F13" s="2" t="s">
        <v>31</v>
      </c>
      <c r="G13" s="2" t="s">
        <v>30</v>
      </c>
      <c r="H13" s="2" t="s">
        <v>31</v>
      </c>
      <c r="I13" s="2" t="s">
        <v>30</v>
      </c>
      <c r="J13" s="2" t="s">
        <v>31</v>
      </c>
      <c r="K13" s="2" t="s">
        <v>30</v>
      </c>
      <c r="L13" s="2" t="s">
        <v>31</v>
      </c>
      <c r="M13" s="2" t="s">
        <v>30</v>
      </c>
      <c r="N13" s="2" t="s">
        <v>31</v>
      </c>
      <c r="O13" s="2" t="s">
        <v>30</v>
      </c>
      <c r="P13" s="2" t="s">
        <v>31</v>
      </c>
      <c r="Q13" s="2" t="s">
        <v>30</v>
      </c>
      <c r="R13" s="2" t="s">
        <v>31</v>
      </c>
      <c r="S13" s="2" t="s">
        <v>32</v>
      </c>
    </row>
    <row r="14" spans="1:19" ht="12.75">
      <c r="A14" s="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S14" s="2"/>
    </row>
    <row r="15" spans="1:19" ht="12.75">
      <c r="A15" s="21">
        <v>1</v>
      </c>
      <c r="B15" s="6" t="s">
        <v>4</v>
      </c>
      <c r="C15" s="7">
        <f>SUM(C16:C17)</f>
        <v>27677000</v>
      </c>
      <c r="D15" s="7">
        <f>SUM(D16:D17)</f>
        <v>27677000</v>
      </c>
      <c r="E15" s="7">
        <f aca="true" t="shared" si="0" ref="E15:P15">SUM(E16:E17)</f>
        <v>3619061.5</v>
      </c>
      <c r="F15" s="7">
        <f t="shared" si="0"/>
        <v>3098615.05</v>
      </c>
      <c r="G15" s="7">
        <f t="shared" si="0"/>
        <v>4310509.27</v>
      </c>
      <c r="H15" s="7">
        <f t="shared" si="0"/>
        <v>3654859.95</v>
      </c>
      <c r="I15" s="7">
        <f t="shared" si="0"/>
        <v>3154195.73</v>
      </c>
      <c r="J15" s="7">
        <f t="shared" si="0"/>
        <v>3529807.74</v>
      </c>
      <c r="K15" s="7">
        <f t="shared" si="0"/>
        <v>4092561.63</v>
      </c>
      <c r="L15" s="7">
        <f t="shared" si="0"/>
        <v>4097127.18</v>
      </c>
      <c r="M15" s="7">
        <f t="shared" si="0"/>
        <v>4714493.86</v>
      </c>
      <c r="N15" s="7">
        <f t="shared" si="0"/>
        <v>4541769.32</v>
      </c>
      <c r="O15" s="7">
        <f t="shared" si="0"/>
        <v>0</v>
      </c>
      <c r="P15" s="7">
        <f t="shared" si="0"/>
        <v>0</v>
      </c>
      <c r="Q15" s="7">
        <f aca="true" t="shared" si="1" ref="Q15:R30">E15+G15+I15+K15+M15+O15</f>
        <v>19890821.99</v>
      </c>
      <c r="R15" s="7">
        <f t="shared" si="1"/>
        <v>18922179.240000002</v>
      </c>
      <c r="S15" s="7">
        <f aca="true" t="shared" si="2" ref="S15:S83">D15-Q15</f>
        <v>7786178.010000002</v>
      </c>
    </row>
    <row r="16" spans="1:19" ht="12.75">
      <c r="A16" s="5">
        <v>122</v>
      </c>
      <c r="B16" s="8" t="s">
        <v>6</v>
      </c>
      <c r="C16" s="9">
        <v>27676000</v>
      </c>
      <c r="D16" s="9">
        <v>27676000</v>
      </c>
      <c r="E16" s="9">
        <v>3619061.5</v>
      </c>
      <c r="F16" s="9">
        <v>3098615.05</v>
      </c>
      <c r="G16" s="9">
        <v>4310509.27</v>
      </c>
      <c r="H16" s="9">
        <v>3654859.95</v>
      </c>
      <c r="I16" s="29">
        <v>3154195.73</v>
      </c>
      <c r="J16" s="29">
        <v>3529807.74</v>
      </c>
      <c r="K16" s="9">
        <v>4092561.63</v>
      </c>
      <c r="L16" s="9">
        <v>4097127.18</v>
      </c>
      <c r="M16" s="9">
        <v>4714493.86</v>
      </c>
      <c r="N16" s="9">
        <v>4541769.32</v>
      </c>
      <c r="O16" s="9"/>
      <c r="P16" s="9"/>
      <c r="Q16" s="7">
        <f t="shared" si="1"/>
        <v>19890821.99</v>
      </c>
      <c r="R16" s="7">
        <f t="shared" si="1"/>
        <v>18922179.240000002</v>
      </c>
      <c r="S16" s="7">
        <f t="shared" si="2"/>
        <v>7785178.010000002</v>
      </c>
    </row>
    <row r="17" spans="1:19" ht="12.75">
      <c r="A17" s="5">
        <v>451</v>
      </c>
      <c r="B17" s="8" t="s">
        <v>65</v>
      </c>
      <c r="C17" s="9">
        <v>1000</v>
      </c>
      <c r="D17" s="9">
        <v>1000</v>
      </c>
      <c r="E17" s="9">
        <v>0</v>
      </c>
      <c r="F17" s="9">
        <v>0</v>
      </c>
      <c r="G17" s="9">
        <v>0</v>
      </c>
      <c r="H17" s="9"/>
      <c r="I17" s="29">
        <v>0</v>
      </c>
      <c r="J17" s="29">
        <v>0</v>
      </c>
      <c r="K17" s="9">
        <v>0</v>
      </c>
      <c r="L17" s="9">
        <v>0</v>
      </c>
      <c r="M17" s="9">
        <v>0</v>
      </c>
      <c r="N17" s="9">
        <v>0</v>
      </c>
      <c r="O17" s="9"/>
      <c r="P17" s="9"/>
      <c r="Q17" s="7">
        <f t="shared" si="1"/>
        <v>0</v>
      </c>
      <c r="R17" s="7">
        <f t="shared" si="1"/>
        <v>0</v>
      </c>
      <c r="S17" s="7">
        <f t="shared" si="2"/>
        <v>1000</v>
      </c>
    </row>
    <row r="18" spans="1:19" ht="12.75">
      <c r="A18" s="21">
        <v>4</v>
      </c>
      <c r="B18" s="6" t="s">
        <v>5</v>
      </c>
      <c r="C18" s="7">
        <f>SUM(C19:C26)</f>
        <v>87202563.7</v>
      </c>
      <c r="D18" s="7">
        <f>SUM(D19:D26)</f>
        <v>84721823.5</v>
      </c>
      <c r="E18" s="7">
        <f aca="true" t="shared" si="3" ref="E18:P18">SUM(E19:E26)</f>
        <v>14747523.590000002</v>
      </c>
      <c r="F18" s="7">
        <f t="shared" si="3"/>
        <v>9478368.83</v>
      </c>
      <c r="G18" s="7">
        <f t="shared" si="3"/>
        <v>15012561.59</v>
      </c>
      <c r="H18" s="7">
        <f t="shared" si="3"/>
        <v>12779051.369999997</v>
      </c>
      <c r="I18" s="7">
        <f t="shared" si="3"/>
        <v>11922121.709999999</v>
      </c>
      <c r="J18" s="7">
        <f t="shared" si="3"/>
        <v>12827042.420000002</v>
      </c>
      <c r="K18" s="7">
        <f t="shared" si="3"/>
        <v>12313952.72</v>
      </c>
      <c r="L18" s="7">
        <f t="shared" si="3"/>
        <v>13000162.97</v>
      </c>
      <c r="M18" s="7">
        <f t="shared" si="3"/>
        <v>10925832.21</v>
      </c>
      <c r="N18" s="7">
        <f t="shared" si="3"/>
        <v>13424180.43</v>
      </c>
      <c r="O18" s="7">
        <f t="shared" si="3"/>
        <v>0</v>
      </c>
      <c r="P18" s="7">
        <f t="shared" si="3"/>
        <v>0</v>
      </c>
      <c r="Q18" s="7">
        <f t="shared" si="1"/>
        <v>64921991.82</v>
      </c>
      <c r="R18" s="7">
        <f t="shared" si="1"/>
        <v>61508806.019999996</v>
      </c>
      <c r="S18" s="7">
        <f t="shared" si="2"/>
        <v>19799831.68</v>
      </c>
    </row>
    <row r="19" spans="1:19" ht="12.75">
      <c r="A19" s="5">
        <v>121</v>
      </c>
      <c r="B19" s="8" t="s">
        <v>33</v>
      </c>
      <c r="C19" s="9">
        <v>4937550.35</v>
      </c>
      <c r="D19" s="9">
        <v>4229874.68</v>
      </c>
      <c r="E19" s="9">
        <v>644475.73</v>
      </c>
      <c r="F19" s="9">
        <v>625936.11</v>
      </c>
      <c r="G19" s="9">
        <v>684374.16</v>
      </c>
      <c r="H19" s="9">
        <v>696913.78</v>
      </c>
      <c r="I19" s="29">
        <v>837511.27</v>
      </c>
      <c r="J19" s="29">
        <v>763710.27</v>
      </c>
      <c r="K19" s="9">
        <v>711382.9</v>
      </c>
      <c r="L19" s="9">
        <v>735659.9</v>
      </c>
      <c r="M19" s="9">
        <v>719587.1</v>
      </c>
      <c r="N19" s="9">
        <v>753509.1</v>
      </c>
      <c r="O19" s="9"/>
      <c r="P19" s="9"/>
      <c r="Q19" s="7">
        <f t="shared" si="1"/>
        <v>3597331.16</v>
      </c>
      <c r="R19" s="7">
        <f t="shared" si="1"/>
        <v>3575729.16</v>
      </c>
      <c r="S19" s="7">
        <f t="shared" si="2"/>
        <v>632543.5199999996</v>
      </c>
    </row>
    <row r="20" spans="1:19" ht="12.75">
      <c r="A20" s="5">
        <v>122</v>
      </c>
      <c r="B20" s="8" t="s">
        <v>6</v>
      </c>
      <c r="C20" s="9">
        <v>50528059.56</v>
      </c>
      <c r="D20" s="9">
        <v>48733462.38</v>
      </c>
      <c r="E20" s="9">
        <v>9252685.24</v>
      </c>
      <c r="F20" s="9">
        <v>6234060.59</v>
      </c>
      <c r="G20" s="9">
        <v>9549997.48</v>
      </c>
      <c r="H20" s="9">
        <v>8367893.18</v>
      </c>
      <c r="I20" s="29">
        <v>7523135.31</v>
      </c>
      <c r="J20" s="29">
        <v>8325692.54</v>
      </c>
      <c r="K20" s="9">
        <v>8481563.44</v>
      </c>
      <c r="L20" s="9">
        <v>8027361.25</v>
      </c>
      <c r="M20" s="9">
        <v>6768637.46</v>
      </c>
      <c r="N20" s="9">
        <v>8842275.76</v>
      </c>
      <c r="O20" s="9"/>
      <c r="P20" s="9"/>
      <c r="Q20" s="7">
        <f t="shared" si="1"/>
        <v>41576018.93</v>
      </c>
      <c r="R20" s="7">
        <f t="shared" si="1"/>
        <v>39797283.32</v>
      </c>
      <c r="S20" s="7">
        <f t="shared" si="2"/>
        <v>7157443.450000003</v>
      </c>
    </row>
    <row r="21" spans="1:19" ht="12.75">
      <c r="A21" s="5">
        <v>123</v>
      </c>
      <c r="B21" s="8" t="s">
        <v>34</v>
      </c>
      <c r="C21" s="9">
        <v>7636853.16</v>
      </c>
      <c r="D21" s="9">
        <v>7747479</v>
      </c>
      <c r="E21" s="9">
        <v>1068099.44</v>
      </c>
      <c r="F21" s="9">
        <v>882562.64</v>
      </c>
      <c r="G21" s="9">
        <v>1285314.29</v>
      </c>
      <c r="H21" s="9">
        <v>1069299.77</v>
      </c>
      <c r="I21" s="29">
        <v>1395756.71</v>
      </c>
      <c r="J21" s="29">
        <v>1184718.39</v>
      </c>
      <c r="K21" s="9">
        <v>1249228.64</v>
      </c>
      <c r="L21" s="9">
        <v>1284232.14</v>
      </c>
      <c r="M21" s="9">
        <v>1198633.7</v>
      </c>
      <c r="N21" s="9">
        <v>1297579.28</v>
      </c>
      <c r="O21" s="9"/>
      <c r="P21" s="9"/>
      <c r="Q21" s="7">
        <f t="shared" si="1"/>
        <v>6197032.78</v>
      </c>
      <c r="R21" s="7">
        <f t="shared" si="1"/>
        <v>5718392.22</v>
      </c>
      <c r="S21" s="7">
        <f t="shared" si="2"/>
        <v>1550446.2199999997</v>
      </c>
    </row>
    <row r="22" spans="1:19" ht="12.75">
      <c r="A22" s="5">
        <v>126</v>
      </c>
      <c r="B22" s="8" t="s">
        <v>36</v>
      </c>
      <c r="C22" s="9">
        <v>9824650</v>
      </c>
      <c r="D22" s="9">
        <v>11507948.86</v>
      </c>
      <c r="E22" s="9">
        <v>2274642.21</v>
      </c>
      <c r="F22" s="9">
        <v>306734.06</v>
      </c>
      <c r="G22" s="9">
        <v>2004476.57</v>
      </c>
      <c r="H22" s="9">
        <v>1106575.11</v>
      </c>
      <c r="I22" s="29">
        <v>538932.82</v>
      </c>
      <c r="J22" s="29">
        <v>932408.1</v>
      </c>
      <c r="K22" s="9">
        <v>345391.74</v>
      </c>
      <c r="L22" s="9">
        <v>1394221.1</v>
      </c>
      <c r="M22" s="9">
        <v>647410.8</v>
      </c>
      <c r="N22" s="9">
        <v>939253.14</v>
      </c>
      <c r="O22" s="9"/>
      <c r="P22" s="9"/>
      <c r="Q22" s="7">
        <f t="shared" si="1"/>
        <v>5810854.140000001</v>
      </c>
      <c r="R22" s="7">
        <f t="shared" si="1"/>
        <v>4679191.51</v>
      </c>
      <c r="S22" s="7">
        <f t="shared" si="2"/>
        <v>5697094.719999999</v>
      </c>
    </row>
    <row r="23" spans="1:19" ht="12.75">
      <c r="A23" s="5">
        <v>128</v>
      </c>
      <c r="B23" s="8" t="s">
        <v>37</v>
      </c>
      <c r="C23" s="9">
        <v>935000</v>
      </c>
      <c r="D23" s="9">
        <v>562001</v>
      </c>
      <c r="E23" s="9">
        <v>74001</v>
      </c>
      <c r="F23" s="9">
        <v>0</v>
      </c>
      <c r="G23" s="9">
        <v>0</v>
      </c>
      <c r="H23" s="9">
        <v>45900</v>
      </c>
      <c r="I23" s="29">
        <v>0</v>
      </c>
      <c r="J23" s="29">
        <v>25556</v>
      </c>
      <c r="K23" s="9">
        <v>0</v>
      </c>
      <c r="L23" s="9">
        <v>0</v>
      </c>
      <c r="M23" s="9">
        <v>0</v>
      </c>
      <c r="N23" s="9">
        <v>0</v>
      </c>
      <c r="O23" s="9"/>
      <c r="P23" s="9"/>
      <c r="Q23" s="7">
        <f t="shared" si="1"/>
        <v>74001</v>
      </c>
      <c r="R23" s="7">
        <f t="shared" si="1"/>
        <v>71456</v>
      </c>
      <c r="S23" s="7">
        <f t="shared" si="2"/>
        <v>488000</v>
      </c>
    </row>
    <row r="24" spans="1:19" ht="12.75">
      <c r="A24" s="5">
        <v>129</v>
      </c>
      <c r="B24" s="8" t="s">
        <v>7</v>
      </c>
      <c r="C24" s="9">
        <v>12072200.63</v>
      </c>
      <c r="D24" s="9">
        <v>10782007.58</v>
      </c>
      <c r="E24" s="9">
        <v>1433619.97</v>
      </c>
      <c r="F24" s="9">
        <v>1429075.43</v>
      </c>
      <c r="G24" s="9">
        <v>1488399.09</v>
      </c>
      <c r="H24" s="9">
        <v>1492469.53</v>
      </c>
      <c r="I24" s="29">
        <v>1617985.6</v>
      </c>
      <c r="J24" s="29">
        <v>1594957.12</v>
      </c>
      <c r="K24" s="9">
        <v>1526386</v>
      </c>
      <c r="L24" s="9">
        <v>1549888.58</v>
      </c>
      <c r="M24" s="9">
        <v>1591563.15</v>
      </c>
      <c r="N24" s="9">
        <v>1591563.15</v>
      </c>
      <c r="O24" s="9"/>
      <c r="P24" s="9"/>
      <c r="Q24" s="7">
        <f t="shared" si="1"/>
        <v>7657953.8100000005</v>
      </c>
      <c r="R24" s="7">
        <f t="shared" si="1"/>
        <v>7657953.8100000005</v>
      </c>
      <c r="S24" s="7">
        <f t="shared" si="2"/>
        <v>3124053.7699999996</v>
      </c>
    </row>
    <row r="25" spans="1:19" ht="12.75">
      <c r="A25" s="5">
        <v>302</v>
      </c>
      <c r="B25" s="8" t="s">
        <v>51</v>
      </c>
      <c r="C25" s="9">
        <v>70000</v>
      </c>
      <c r="D25" s="9">
        <v>8800</v>
      </c>
      <c r="E25" s="9">
        <v>0</v>
      </c>
      <c r="F25" s="9">
        <v>0</v>
      </c>
      <c r="G25" s="9">
        <v>0</v>
      </c>
      <c r="H25" s="9">
        <v>0</v>
      </c>
      <c r="I25" s="29">
        <v>8800</v>
      </c>
      <c r="J25" s="29">
        <v>0</v>
      </c>
      <c r="K25" s="9">
        <v>0</v>
      </c>
      <c r="L25" s="9">
        <v>8800</v>
      </c>
      <c r="M25" s="9">
        <v>0</v>
      </c>
      <c r="N25" s="9">
        <v>0</v>
      </c>
      <c r="O25" s="9"/>
      <c r="P25" s="9"/>
      <c r="Q25" s="7">
        <f t="shared" si="1"/>
        <v>8800</v>
      </c>
      <c r="R25" s="7">
        <f t="shared" si="1"/>
        <v>8800</v>
      </c>
      <c r="S25" s="7">
        <f t="shared" si="2"/>
        <v>0</v>
      </c>
    </row>
    <row r="26" spans="1:19" ht="12.75">
      <c r="A26" s="5">
        <v>451</v>
      </c>
      <c r="B26" s="8" t="s">
        <v>65</v>
      </c>
      <c r="C26" s="9">
        <v>1198250</v>
      </c>
      <c r="D26" s="9">
        <v>1150250</v>
      </c>
      <c r="E26" s="9">
        <v>0</v>
      </c>
      <c r="F26" s="9">
        <v>0</v>
      </c>
      <c r="G26" s="9">
        <v>0</v>
      </c>
      <c r="H26" s="9">
        <v>0</v>
      </c>
      <c r="I26" s="29">
        <v>0</v>
      </c>
      <c r="J26" s="29">
        <v>0</v>
      </c>
      <c r="K26" s="9">
        <v>0</v>
      </c>
      <c r="L26" s="9">
        <v>0</v>
      </c>
      <c r="M26" s="9">
        <v>0</v>
      </c>
      <c r="N26" s="9">
        <v>0</v>
      </c>
      <c r="O26" s="9"/>
      <c r="P26" s="9"/>
      <c r="Q26" s="7">
        <f t="shared" si="1"/>
        <v>0</v>
      </c>
      <c r="R26" s="7">
        <f t="shared" si="1"/>
        <v>0</v>
      </c>
      <c r="S26" s="7">
        <f t="shared" si="2"/>
        <v>1150250</v>
      </c>
    </row>
    <row r="27" spans="1:19" ht="12.75">
      <c r="A27" s="21">
        <v>5</v>
      </c>
      <c r="B27" s="6" t="s">
        <v>9</v>
      </c>
      <c r="C27" s="7">
        <f>SUM(C28:C28)</f>
        <v>36632</v>
      </c>
      <c r="D27" s="7">
        <f>SUM(D28:D28)</f>
        <v>0</v>
      </c>
      <c r="E27" s="7">
        <f aca="true" t="shared" si="4" ref="E27:P27">SUM(E28:E28)</f>
        <v>0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7">
        <f t="shared" si="4"/>
        <v>0</v>
      </c>
      <c r="O27" s="7">
        <f t="shared" si="4"/>
        <v>0</v>
      </c>
      <c r="P27" s="7">
        <f t="shared" si="4"/>
        <v>0</v>
      </c>
      <c r="Q27" s="7">
        <f t="shared" si="1"/>
        <v>0</v>
      </c>
      <c r="R27" s="7">
        <f t="shared" si="1"/>
        <v>0</v>
      </c>
      <c r="S27" s="7">
        <f t="shared" si="2"/>
        <v>0</v>
      </c>
    </row>
    <row r="28" spans="1:19" ht="12.75">
      <c r="A28" s="5">
        <v>153</v>
      </c>
      <c r="B28" s="8" t="s">
        <v>38</v>
      </c>
      <c r="C28" s="9">
        <v>36632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/>
      <c r="P28" s="9"/>
      <c r="Q28" s="7">
        <f t="shared" si="1"/>
        <v>0</v>
      </c>
      <c r="R28" s="7">
        <f t="shared" si="1"/>
        <v>0</v>
      </c>
      <c r="S28" s="7">
        <f t="shared" si="2"/>
        <v>0</v>
      </c>
    </row>
    <row r="29" spans="1:19" ht="12.75">
      <c r="A29" s="21">
        <v>6</v>
      </c>
      <c r="B29" s="6" t="s">
        <v>10</v>
      </c>
      <c r="C29" s="7">
        <f>SUM(C30:C34)</f>
        <v>7607679.41</v>
      </c>
      <c r="D29" s="7">
        <f>SUM(D30:D34)</f>
        <v>8619089.53</v>
      </c>
      <c r="E29" s="7">
        <f aca="true" t="shared" si="5" ref="E29:P29">SUM(E30:E34)</f>
        <v>909343.55</v>
      </c>
      <c r="F29" s="7">
        <f t="shared" si="5"/>
        <v>880622.04</v>
      </c>
      <c r="G29" s="7">
        <f t="shared" si="5"/>
        <v>1265194.1400000001</v>
      </c>
      <c r="H29" s="7">
        <f t="shared" si="5"/>
        <v>1271350.65</v>
      </c>
      <c r="I29" s="7">
        <f t="shared" si="5"/>
        <v>1520998.71</v>
      </c>
      <c r="J29" s="7">
        <f t="shared" si="5"/>
        <v>1306930.44</v>
      </c>
      <c r="K29" s="7">
        <f t="shared" si="5"/>
        <v>1581996.71</v>
      </c>
      <c r="L29" s="7">
        <f t="shared" si="5"/>
        <v>1534696.77</v>
      </c>
      <c r="M29" s="7">
        <f t="shared" si="5"/>
        <v>1619266.26</v>
      </c>
      <c r="N29" s="7">
        <f t="shared" si="5"/>
        <v>1689837.26</v>
      </c>
      <c r="O29" s="7">
        <f t="shared" si="5"/>
        <v>0</v>
      </c>
      <c r="P29" s="7">
        <f t="shared" si="5"/>
        <v>0</v>
      </c>
      <c r="Q29" s="7">
        <f t="shared" si="1"/>
        <v>6896799.37</v>
      </c>
      <c r="R29" s="7">
        <f t="shared" si="1"/>
        <v>6683437.16</v>
      </c>
      <c r="S29" s="7">
        <f t="shared" si="2"/>
        <v>1722290.1599999992</v>
      </c>
    </row>
    <row r="30" spans="1:19" ht="12.75">
      <c r="A30" s="5">
        <v>122</v>
      </c>
      <c r="B30" s="8" t="s">
        <v>6</v>
      </c>
      <c r="C30" s="24">
        <v>6121229.41</v>
      </c>
      <c r="D30" s="24">
        <v>6894902.31</v>
      </c>
      <c r="E30" s="24">
        <v>909343.55</v>
      </c>
      <c r="F30" s="24">
        <v>880622.04</v>
      </c>
      <c r="G30" s="24">
        <v>938474.14</v>
      </c>
      <c r="H30" s="24">
        <v>963850.65</v>
      </c>
      <c r="I30" s="29">
        <v>1164584.44</v>
      </c>
      <c r="J30" s="29">
        <v>1137610.44</v>
      </c>
      <c r="K30" s="24">
        <v>1308689.21</v>
      </c>
      <c r="L30" s="24">
        <v>1182575.01</v>
      </c>
      <c r="M30" s="24">
        <v>1449831.26</v>
      </c>
      <c r="N30" s="24">
        <v>1400402.26</v>
      </c>
      <c r="O30" s="24"/>
      <c r="P30" s="24"/>
      <c r="Q30" s="7">
        <f t="shared" si="1"/>
        <v>5770922.6</v>
      </c>
      <c r="R30" s="7">
        <f t="shared" si="1"/>
        <v>5565060.399999999</v>
      </c>
      <c r="S30" s="7">
        <f t="shared" si="2"/>
        <v>1123979.71</v>
      </c>
    </row>
    <row r="31" spans="1:19" ht="12.75">
      <c r="A31" s="5">
        <v>128</v>
      </c>
      <c r="B31" s="8" t="s">
        <v>37</v>
      </c>
      <c r="C31" s="24">
        <v>101250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9">
        <v>0</v>
      </c>
      <c r="J31" s="29">
        <v>0</v>
      </c>
      <c r="K31" s="24">
        <v>0</v>
      </c>
      <c r="L31" s="24">
        <v>0</v>
      </c>
      <c r="M31" s="24">
        <v>0</v>
      </c>
      <c r="N31" s="24">
        <v>0</v>
      </c>
      <c r="O31" s="24"/>
      <c r="P31" s="24"/>
      <c r="Q31" s="7">
        <f aca="true" t="shared" si="6" ref="Q31:R98">E31+G31+I31+K31+M31+O31</f>
        <v>0</v>
      </c>
      <c r="R31" s="7">
        <f t="shared" si="6"/>
        <v>0</v>
      </c>
      <c r="S31" s="7">
        <f t="shared" si="2"/>
        <v>0</v>
      </c>
    </row>
    <row r="32" spans="1:19" ht="12.75">
      <c r="A32" s="5">
        <v>181</v>
      </c>
      <c r="B32" s="8" t="s">
        <v>39</v>
      </c>
      <c r="C32" s="9">
        <v>32000</v>
      </c>
      <c r="D32" s="9">
        <v>11000</v>
      </c>
      <c r="E32" s="9">
        <v>0</v>
      </c>
      <c r="F32" s="9">
        <v>0</v>
      </c>
      <c r="G32" s="9">
        <v>0</v>
      </c>
      <c r="H32" s="9">
        <v>0</v>
      </c>
      <c r="I32" s="29">
        <v>0</v>
      </c>
      <c r="J32" s="29">
        <v>0</v>
      </c>
      <c r="K32" s="9">
        <v>0</v>
      </c>
      <c r="L32" s="9">
        <v>0</v>
      </c>
      <c r="M32" s="9">
        <v>0</v>
      </c>
      <c r="N32" s="9">
        <v>0</v>
      </c>
      <c r="O32" s="9"/>
      <c r="P32" s="9"/>
      <c r="Q32" s="7">
        <f t="shared" si="6"/>
        <v>0</v>
      </c>
      <c r="R32" s="7">
        <f t="shared" si="6"/>
        <v>0</v>
      </c>
      <c r="S32" s="7">
        <f t="shared" si="2"/>
        <v>11000</v>
      </c>
    </row>
    <row r="33" spans="1:19" ht="12.75">
      <c r="A33" s="5">
        <v>182</v>
      </c>
      <c r="B33" s="8" t="s">
        <v>40</v>
      </c>
      <c r="C33" s="9">
        <v>1313200</v>
      </c>
      <c r="D33" s="9">
        <v>804320</v>
      </c>
      <c r="E33" s="9">
        <v>0</v>
      </c>
      <c r="F33" s="9">
        <v>0</v>
      </c>
      <c r="G33" s="9">
        <v>326720</v>
      </c>
      <c r="H33" s="9">
        <v>307500</v>
      </c>
      <c r="I33" s="29">
        <v>157600</v>
      </c>
      <c r="J33" s="29">
        <v>169320</v>
      </c>
      <c r="K33" s="9">
        <v>150000</v>
      </c>
      <c r="L33" s="9">
        <v>150000</v>
      </c>
      <c r="M33" s="9">
        <v>155850</v>
      </c>
      <c r="N33" s="9">
        <v>155850</v>
      </c>
      <c r="O33" s="9"/>
      <c r="P33" s="9"/>
      <c r="Q33" s="7">
        <f t="shared" si="6"/>
        <v>790170</v>
      </c>
      <c r="R33" s="7">
        <f t="shared" si="6"/>
        <v>782670</v>
      </c>
      <c r="S33" s="7">
        <f t="shared" si="2"/>
        <v>14150</v>
      </c>
    </row>
    <row r="34" spans="1:19" ht="12.75">
      <c r="A34" s="5">
        <v>183</v>
      </c>
      <c r="B34" s="8" t="s">
        <v>41</v>
      </c>
      <c r="C34" s="9">
        <v>40000</v>
      </c>
      <c r="D34" s="9">
        <v>908867.22</v>
      </c>
      <c r="E34" s="9">
        <v>0</v>
      </c>
      <c r="F34" s="9">
        <v>0</v>
      </c>
      <c r="G34" s="9">
        <v>0</v>
      </c>
      <c r="H34" s="9">
        <v>0</v>
      </c>
      <c r="I34" s="29">
        <v>198814.27</v>
      </c>
      <c r="J34" s="29">
        <v>0</v>
      </c>
      <c r="K34" s="9">
        <v>123307.5</v>
      </c>
      <c r="L34" s="9">
        <v>202121.76</v>
      </c>
      <c r="M34" s="9">
        <v>13585</v>
      </c>
      <c r="N34" s="9">
        <v>133585</v>
      </c>
      <c r="O34" s="9"/>
      <c r="P34" s="9"/>
      <c r="Q34" s="7">
        <f t="shared" si="6"/>
        <v>335706.77</v>
      </c>
      <c r="R34" s="7">
        <f t="shared" si="6"/>
        <v>335706.76</v>
      </c>
      <c r="S34" s="7">
        <f t="shared" si="2"/>
        <v>573160.45</v>
      </c>
    </row>
    <row r="35" spans="1:19" ht="12.75">
      <c r="A35" s="21">
        <v>8</v>
      </c>
      <c r="B35" s="6" t="s">
        <v>42</v>
      </c>
      <c r="C35" s="7">
        <f>SUM(C36:C44)</f>
        <v>17211801.009999998</v>
      </c>
      <c r="D35" s="7">
        <f>SUM(D36:D44)</f>
        <v>16179248.600000001</v>
      </c>
      <c r="E35" s="7">
        <f aca="true" t="shared" si="7" ref="E35:P35">SUM(E36:E44)</f>
        <v>1308034.0099999998</v>
      </c>
      <c r="F35" s="7">
        <f t="shared" si="7"/>
        <v>1082988.08</v>
      </c>
      <c r="G35" s="7">
        <f t="shared" si="7"/>
        <v>1371354.6600000001</v>
      </c>
      <c r="H35" s="7">
        <f t="shared" si="7"/>
        <v>1275044.4400000002</v>
      </c>
      <c r="I35" s="7">
        <f t="shared" si="7"/>
        <v>2875194.13</v>
      </c>
      <c r="J35" s="7">
        <f t="shared" si="7"/>
        <v>2023867.22</v>
      </c>
      <c r="K35" s="7">
        <f t="shared" si="7"/>
        <v>1532378.54</v>
      </c>
      <c r="L35" s="7">
        <f t="shared" si="7"/>
        <v>1722627.0999999999</v>
      </c>
      <c r="M35" s="7">
        <f t="shared" si="7"/>
        <v>1982190.3199999998</v>
      </c>
      <c r="N35" s="7">
        <f t="shared" si="7"/>
        <v>2135563.6100000003</v>
      </c>
      <c r="O35" s="7">
        <f t="shared" si="7"/>
        <v>0</v>
      </c>
      <c r="P35" s="7">
        <f t="shared" si="7"/>
        <v>0</v>
      </c>
      <c r="Q35" s="7">
        <f t="shared" si="6"/>
        <v>9069151.66</v>
      </c>
      <c r="R35" s="7">
        <f t="shared" si="6"/>
        <v>8240090.45</v>
      </c>
      <c r="S35" s="7">
        <f t="shared" si="2"/>
        <v>7110096.940000001</v>
      </c>
    </row>
    <row r="36" spans="1:19" ht="12.75">
      <c r="A36" s="5">
        <v>122</v>
      </c>
      <c r="B36" s="8" t="s">
        <v>6</v>
      </c>
      <c r="C36" s="24">
        <v>1505900</v>
      </c>
      <c r="D36" s="24">
        <v>1122242.3</v>
      </c>
      <c r="E36" s="24">
        <v>196754.09</v>
      </c>
      <c r="F36" s="24">
        <v>52949.09</v>
      </c>
      <c r="G36" s="24">
        <v>60885.25</v>
      </c>
      <c r="H36" s="24">
        <v>81534.7</v>
      </c>
      <c r="I36" s="29">
        <v>78539.32</v>
      </c>
      <c r="J36" s="29">
        <v>128517.22</v>
      </c>
      <c r="K36" s="24">
        <v>131175.77</v>
      </c>
      <c r="L36" s="24">
        <v>74819.95</v>
      </c>
      <c r="M36" s="24">
        <v>59826.74</v>
      </c>
      <c r="N36" s="24">
        <v>136779.14</v>
      </c>
      <c r="O36" s="24"/>
      <c r="P36" s="24"/>
      <c r="Q36" s="7">
        <f t="shared" si="6"/>
        <v>527181.17</v>
      </c>
      <c r="R36" s="7">
        <f t="shared" si="6"/>
        <v>474600.10000000003</v>
      </c>
      <c r="S36" s="7">
        <f t="shared" si="2"/>
        <v>595061.13</v>
      </c>
    </row>
    <row r="37" spans="1:19" ht="12.75">
      <c r="A37" s="5">
        <v>241</v>
      </c>
      <c r="B37" s="8" t="s">
        <v>43</v>
      </c>
      <c r="C37" s="9">
        <v>500000</v>
      </c>
      <c r="D37" s="9">
        <v>300000</v>
      </c>
      <c r="E37" s="9">
        <v>0</v>
      </c>
      <c r="F37" s="9">
        <v>0</v>
      </c>
      <c r="G37" s="9">
        <v>10560</v>
      </c>
      <c r="H37" s="9">
        <v>10560</v>
      </c>
      <c r="I37" s="29">
        <v>77760</v>
      </c>
      <c r="J37" s="29">
        <v>28080</v>
      </c>
      <c r="K37" s="9">
        <v>0</v>
      </c>
      <c r="L37" s="9">
        <v>4704</v>
      </c>
      <c r="M37" s="9">
        <v>0</v>
      </c>
      <c r="N37" s="9">
        <v>17976</v>
      </c>
      <c r="O37" s="9"/>
      <c r="P37" s="9"/>
      <c r="Q37" s="7">
        <f t="shared" si="6"/>
        <v>88320</v>
      </c>
      <c r="R37" s="7">
        <f t="shared" si="6"/>
        <v>61320</v>
      </c>
      <c r="S37" s="7">
        <f t="shared" si="2"/>
        <v>211680</v>
      </c>
    </row>
    <row r="38" spans="1:19" ht="12.75">
      <c r="A38" s="5">
        <v>242</v>
      </c>
      <c r="B38" s="8" t="s">
        <v>44</v>
      </c>
      <c r="C38" s="23">
        <v>626500</v>
      </c>
      <c r="D38" s="23">
        <v>324328.5</v>
      </c>
      <c r="E38" s="23">
        <v>0</v>
      </c>
      <c r="F38" s="23">
        <v>0</v>
      </c>
      <c r="G38" s="23">
        <v>0</v>
      </c>
      <c r="H38" s="23">
        <v>0</v>
      </c>
      <c r="I38" s="29">
        <v>71280</v>
      </c>
      <c r="J38" s="29">
        <v>20790</v>
      </c>
      <c r="K38" s="23">
        <v>12328.5</v>
      </c>
      <c r="L38" s="23">
        <v>17820</v>
      </c>
      <c r="M38" s="23">
        <v>95.2</v>
      </c>
      <c r="N38" s="23">
        <v>30243.7</v>
      </c>
      <c r="O38" s="23"/>
      <c r="P38" s="23"/>
      <c r="Q38" s="7">
        <f t="shared" si="6"/>
        <v>83703.7</v>
      </c>
      <c r="R38" s="7">
        <f t="shared" si="6"/>
        <v>68853.7</v>
      </c>
      <c r="S38" s="7">
        <f t="shared" si="2"/>
        <v>240624.8</v>
      </c>
    </row>
    <row r="39" spans="1:19" ht="12.75">
      <c r="A39" s="5">
        <v>243</v>
      </c>
      <c r="B39" s="8" t="s">
        <v>45</v>
      </c>
      <c r="C39" s="10">
        <v>4060000</v>
      </c>
      <c r="D39" s="10">
        <v>4740705.95</v>
      </c>
      <c r="E39" s="10">
        <v>38437.19</v>
      </c>
      <c r="F39" s="10">
        <v>22096.5</v>
      </c>
      <c r="G39" s="10">
        <v>119001.63</v>
      </c>
      <c r="H39" s="10">
        <v>86780.87</v>
      </c>
      <c r="I39" s="29">
        <v>1219350.78</v>
      </c>
      <c r="J39" s="29">
        <v>566824.76</v>
      </c>
      <c r="K39" s="10">
        <v>96281.1</v>
      </c>
      <c r="L39" s="10">
        <v>172362.26</v>
      </c>
      <c r="M39" s="10">
        <v>357656.62</v>
      </c>
      <c r="N39" s="10">
        <v>625557.71</v>
      </c>
      <c r="O39" s="10"/>
      <c r="P39" s="10"/>
      <c r="Q39" s="7">
        <f t="shared" si="6"/>
        <v>1830727.3200000003</v>
      </c>
      <c r="R39" s="7">
        <f t="shared" si="6"/>
        <v>1473622.1</v>
      </c>
      <c r="S39" s="7">
        <f t="shared" si="2"/>
        <v>2909978.63</v>
      </c>
    </row>
    <row r="40" spans="1:19" ht="12.75">
      <c r="A40" s="5">
        <v>244</v>
      </c>
      <c r="B40" s="8" t="s">
        <v>17</v>
      </c>
      <c r="C40" s="9">
        <v>7765774.68</v>
      </c>
      <c r="D40" s="9">
        <v>8197580.37</v>
      </c>
      <c r="E40" s="9">
        <v>855652.38</v>
      </c>
      <c r="F40" s="9">
        <v>832657.42</v>
      </c>
      <c r="G40" s="9">
        <v>1022546.26</v>
      </c>
      <c r="H40" s="9">
        <v>929737.52</v>
      </c>
      <c r="I40" s="29">
        <v>1195174.42</v>
      </c>
      <c r="J40" s="29">
        <v>1107813.31</v>
      </c>
      <c r="K40" s="9">
        <v>1207296.08</v>
      </c>
      <c r="L40" s="9">
        <v>1343391.2</v>
      </c>
      <c r="M40" s="9">
        <v>1464285.66</v>
      </c>
      <c r="N40" s="9">
        <v>1215374.34</v>
      </c>
      <c r="O40" s="9"/>
      <c r="P40" s="9"/>
      <c r="Q40" s="7">
        <f t="shared" si="6"/>
        <v>5744954.800000001</v>
      </c>
      <c r="R40" s="7">
        <f t="shared" si="6"/>
        <v>5428973.79</v>
      </c>
      <c r="S40" s="7">
        <f t="shared" si="2"/>
        <v>2452625.5699999994</v>
      </c>
    </row>
    <row r="41" spans="1:19" ht="12.75">
      <c r="A41" s="5">
        <v>301</v>
      </c>
      <c r="B41" s="8" t="s">
        <v>50</v>
      </c>
      <c r="C41" s="9">
        <v>50000</v>
      </c>
      <c r="D41" s="9">
        <v>50000</v>
      </c>
      <c r="E41" s="9">
        <v>13255.69</v>
      </c>
      <c r="F41" s="9">
        <v>7255.69</v>
      </c>
      <c r="G41" s="9">
        <v>6029.5</v>
      </c>
      <c r="H41" s="9">
        <v>8241.87</v>
      </c>
      <c r="I41" s="9">
        <v>4437.99</v>
      </c>
      <c r="J41" s="9">
        <v>6410.57</v>
      </c>
      <c r="K41" s="9">
        <v>4674.24</v>
      </c>
      <c r="L41" s="9">
        <v>6162.21</v>
      </c>
      <c r="M41" s="9">
        <v>6462.88</v>
      </c>
      <c r="N41" s="9">
        <v>6657.21</v>
      </c>
      <c r="O41" s="9"/>
      <c r="P41" s="9"/>
      <c r="Q41" s="7">
        <f>E41+G41+I41+K41+M41+O41</f>
        <v>34860.299999999996</v>
      </c>
      <c r="R41" s="7">
        <f>F41+H41+J41+L41+N41+P41</f>
        <v>34727.55</v>
      </c>
      <c r="S41" s="7">
        <f>D41-Q41</f>
        <v>15139.700000000004</v>
      </c>
    </row>
    <row r="42" spans="1:19" ht="12.75">
      <c r="A42" s="5">
        <v>306</v>
      </c>
      <c r="B42" s="8" t="s">
        <v>11</v>
      </c>
      <c r="C42" s="9">
        <v>2687358.27</v>
      </c>
      <c r="D42" s="9">
        <v>1421523.42</v>
      </c>
      <c r="E42" s="9">
        <v>203934.66</v>
      </c>
      <c r="F42" s="9">
        <v>168029.38</v>
      </c>
      <c r="G42" s="9">
        <v>151154.23</v>
      </c>
      <c r="H42" s="9">
        <v>157011.69</v>
      </c>
      <c r="I42" s="29">
        <v>226113.44</v>
      </c>
      <c r="J42" s="29">
        <v>162893.18</v>
      </c>
      <c r="K42" s="9">
        <v>78748.41</v>
      </c>
      <c r="L42" s="9">
        <v>101517.84</v>
      </c>
      <c r="M42" s="9">
        <v>92279.86</v>
      </c>
      <c r="N42" s="9">
        <v>101367.35</v>
      </c>
      <c r="O42" s="9"/>
      <c r="P42" s="9"/>
      <c r="Q42" s="7">
        <f t="shared" si="6"/>
        <v>752230.6000000001</v>
      </c>
      <c r="R42" s="7">
        <f t="shared" si="6"/>
        <v>690819.44</v>
      </c>
      <c r="S42" s="7">
        <f t="shared" si="2"/>
        <v>669292.8199999998</v>
      </c>
    </row>
    <row r="43" spans="1:19" ht="12.75">
      <c r="A43" s="5">
        <v>331</v>
      </c>
      <c r="B43" s="8" t="s">
        <v>54</v>
      </c>
      <c r="C43" s="9">
        <v>268.06</v>
      </c>
      <c r="D43" s="9">
        <v>6868.06</v>
      </c>
      <c r="E43" s="9">
        <v>0</v>
      </c>
      <c r="F43" s="9">
        <v>0</v>
      </c>
      <c r="G43" s="9">
        <v>1177.79</v>
      </c>
      <c r="H43" s="9">
        <v>1177.79</v>
      </c>
      <c r="I43" s="29">
        <v>1436.78</v>
      </c>
      <c r="J43" s="29">
        <v>1436.78</v>
      </c>
      <c r="K43" s="9">
        <v>1621.44</v>
      </c>
      <c r="L43" s="9">
        <v>1621.44</v>
      </c>
      <c r="M43" s="9">
        <v>1587.66</v>
      </c>
      <c r="N43" s="9">
        <v>1587.66</v>
      </c>
      <c r="O43" s="9"/>
      <c r="P43" s="9"/>
      <c r="Q43" s="7">
        <f t="shared" si="6"/>
        <v>5823.67</v>
      </c>
      <c r="R43" s="7">
        <f t="shared" si="6"/>
        <v>5823.67</v>
      </c>
      <c r="S43" s="7">
        <f t="shared" si="2"/>
        <v>1044.3900000000003</v>
      </c>
    </row>
    <row r="44" spans="1:19" ht="12.75">
      <c r="A44" s="5">
        <v>363</v>
      </c>
      <c r="B44" s="8" t="s">
        <v>59</v>
      </c>
      <c r="C44" s="9">
        <v>16000</v>
      </c>
      <c r="D44" s="9">
        <v>16000</v>
      </c>
      <c r="E44" s="9">
        <v>0</v>
      </c>
      <c r="F44" s="9">
        <v>0</v>
      </c>
      <c r="G44" s="9">
        <v>0</v>
      </c>
      <c r="H44" s="9">
        <v>0</v>
      </c>
      <c r="I44" s="29">
        <v>1101.4</v>
      </c>
      <c r="J44" s="29">
        <v>1101.4</v>
      </c>
      <c r="K44" s="9">
        <v>253</v>
      </c>
      <c r="L44" s="9">
        <v>228.2</v>
      </c>
      <c r="M44" s="9">
        <v>-4.3</v>
      </c>
      <c r="N44" s="9">
        <v>20.5</v>
      </c>
      <c r="O44" s="9"/>
      <c r="P44" s="9"/>
      <c r="Q44" s="7">
        <f t="shared" si="6"/>
        <v>1350.1000000000001</v>
      </c>
      <c r="R44" s="7">
        <f t="shared" si="6"/>
        <v>1350.1000000000001</v>
      </c>
      <c r="S44" s="7">
        <f t="shared" si="2"/>
        <v>14649.9</v>
      </c>
    </row>
    <row r="45" spans="1:19" ht="12.75">
      <c r="A45" s="21">
        <v>9</v>
      </c>
      <c r="B45" s="6" t="s">
        <v>46</v>
      </c>
      <c r="C45" s="7">
        <f>SUM(C46:C48)</f>
        <v>46661090.9</v>
      </c>
      <c r="D45" s="7">
        <f aca="true" t="shared" si="8" ref="D45:S45">SUM(D46:D48)</f>
        <v>48673090.9</v>
      </c>
      <c r="E45" s="7">
        <f t="shared" si="8"/>
        <v>12307055.82</v>
      </c>
      <c r="F45" s="7">
        <f t="shared" si="8"/>
        <v>6723658.07</v>
      </c>
      <c r="G45" s="7">
        <f t="shared" si="8"/>
        <v>6676443.140000001</v>
      </c>
      <c r="H45" s="7">
        <f t="shared" si="8"/>
        <v>7858727.840000001</v>
      </c>
      <c r="I45" s="7">
        <f t="shared" si="8"/>
        <v>7144241.03</v>
      </c>
      <c r="J45" s="7">
        <f t="shared" si="8"/>
        <v>8122401.32</v>
      </c>
      <c r="K45" s="7">
        <f t="shared" si="8"/>
        <v>7176061.59</v>
      </c>
      <c r="L45" s="7">
        <f t="shared" si="8"/>
        <v>8396218.53</v>
      </c>
      <c r="M45" s="7">
        <f t="shared" si="8"/>
        <v>7358490.05</v>
      </c>
      <c r="N45" s="7">
        <f t="shared" si="8"/>
        <v>8433560.8</v>
      </c>
      <c r="O45" s="7">
        <f t="shared" si="8"/>
        <v>0</v>
      </c>
      <c r="P45" s="7">
        <f t="shared" si="8"/>
        <v>0</v>
      </c>
      <c r="Q45" s="7">
        <f t="shared" si="8"/>
        <v>40662291.63</v>
      </c>
      <c r="R45" s="7">
        <f t="shared" si="8"/>
        <v>39534566.56</v>
      </c>
      <c r="S45" s="7">
        <f t="shared" si="8"/>
        <v>8010799.269999996</v>
      </c>
    </row>
    <row r="46" spans="1:19" ht="12.75">
      <c r="A46" s="5">
        <v>122</v>
      </c>
      <c r="B46" s="8" t="s">
        <v>6</v>
      </c>
      <c r="C46" s="24">
        <f>2280150+688000+765000+115000+277000</f>
        <v>4125150</v>
      </c>
      <c r="D46" s="24">
        <f>2280150+748000+635000+325000+287000</f>
        <v>4275150</v>
      </c>
      <c r="E46" s="24">
        <f>431302.43+161144.07+31094+100000+194500</f>
        <v>918040.5</v>
      </c>
      <c r="F46" s="24">
        <f>272839.32+61902.8+6502+73185.17+42089.24</f>
        <v>456518.52999999997</v>
      </c>
      <c r="G46" s="24">
        <f>226637.48+214928.29+57800.39+12218.11</f>
        <v>511584.27</v>
      </c>
      <c r="H46" s="24">
        <f>259232.65+90069.87+17007.1+16504.79+44429.18</f>
        <v>427243.58999999997</v>
      </c>
      <c r="I46" s="24">
        <f>254090.24+26634.06+9620.1+50229.84+35281.89</f>
        <v>375856.13</v>
      </c>
      <c r="J46" s="24">
        <f>28208.84+50464.87+45973.74+93994.56+287312.75</f>
        <v>505954.76</v>
      </c>
      <c r="K46" s="24">
        <f>292277.01+24677.85+32973.76+28000</f>
        <v>377928.62</v>
      </c>
      <c r="L46" s="24">
        <f>327496.22+62094.53+40448.89+62738.87</f>
        <v>492778.51</v>
      </c>
      <c r="M46" s="24">
        <f>253535.69+41631.93+1156.8+120102.16+10000</f>
        <v>426426.57999999996</v>
      </c>
      <c r="N46" s="24">
        <f>286342.9+95484.18+9852.46+72520.3+47433.99</f>
        <v>511633.83</v>
      </c>
      <c r="O46" s="24"/>
      <c r="P46" s="24"/>
      <c r="Q46" s="7">
        <f>E46+G46+I46+K46+M46+O46</f>
        <v>2609836.1</v>
      </c>
      <c r="R46" s="7">
        <f>F46+H46+J46+L46+N46+P46</f>
        <v>2394129.2199999997</v>
      </c>
      <c r="S46" s="7">
        <f>D46-Q46</f>
        <v>1665313.9</v>
      </c>
    </row>
    <row r="47" spans="1:19" ht="12.75">
      <c r="A47" s="5">
        <v>271</v>
      </c>
      <c r="B47" s="8" t="s">
        <v>47</v>
      </c>
      <c r="C47" s="9">
        <f>35030940.9-6500000+6500000</f>
        <v>35030940.9</v>
      </c>
      <c r="D47" s="9">
        <f>36212940.9-6350000+6350000</f>
        <v>36212940.9</v>
      </c>
      <c r="E47" s="9">
        <f>5575570.19-1083333.34+984930.17</f>
        <v>5477167.0200000005</v>
      </c>
      <c r="F47" s="9">
        <f>5575570.19-1083333.34+984930.17</f>
        <v>5477167.0200000005</v>
      </c>
      <c r="G47" s="9">
        <f>-1083333.34+910055.24+6071149.4</f>
        <v>5897871.300000001</v>
      </c>
      <c r="H47" s="9">
        <f>-1083333.34+910055.24+6071149.4</f>
        <v>5897871.300000001</v>
      </c>
      <c r="I47" s="29">
        <f>6651019.28-1083333.34+910401.74</f>
        <v>6478087.680000001</v>
      </c>
      <c r="J47" s="29">
        <f>6651019.28-1083333.34+910401.74</f>
        <v>6478087.680000001</v>
      </c>
      <c r="K47" s="9">
        <f>6485972.32-1053333.32+1038231.74</f>
        <v>6470870.74</v>
      </c>
      <c r="L47" s="9">
        <f>6485972.32-1053333.32+1038231.74</f>
        <v>6470870.74</v>
      </c>
      <c r="M47" s="9">
        <f>6439831.16-1023333.33+1218978.38</f>
        <v>6635476.21</v>
      </c>
      <c r="N47" s="9">
        <f>6439831.16-1023333.33+1218978.38</f>
        <v>6635476.21</v>
      </c>
      <c r="O47" s="9"/>
      <c r="P47" s="9"/>
      <c r="Q47" s="7">
        <f t="shared" si="6"/>
        <v>30959472.950000003</v>
      </c>
      <c r="R47" s="7">
        <f t="shared" si="6"/>
        <v>30959472.950000003</v>
      </c>
      <c r="S47" s="7">
        <f t="shared" si="2"/>
        <v>5253467.9499999955</v>
      </c>
    </row>
    <row r="48" spans="1:19" ht="12.75">
      <c r="A48" s="5">
        <v>272</v>
      </c>
      <c r="B48" s="8" t="s">
        <v>48</v>
      </c>
      <c r="C48" s="9">
        <f>270000+7000000+145000+90000</f>
        <v>7505000</v>
      </c>
      <c r="D48" s="9">
        <f>270000+7700000+125000+90000</f>
        <v>8185000</v>
      </c>
      <c r="E48" s="9">
        <f>39579.18+5872269.12</f>
        <v>5911848.3</v>
      </c>
      <c r="F48" s="9">
        <f>39579.18+750393.34</f>
        <v>789972.52</v>
      </c>
      <c r="G48" s="9">
        <f>39421.6+227565.97</f>
        <v>266987.57</v>
      </c>
      <c r="H48" s="9">
        <f>39421.6+1494191.35</f>
        <v>1533612.9500000002</v>
      </c>
      <c r="I48" s="9">
        <f>1983.61+248892.01+39421.6</f>
        <v>290297.22</v>
      </c>
      <c r="J48" s="9">
        <f>39421.6+1096953.67+1983.61</f>
        <v>1138358.8800000001</v>
      </c>
      <c r="K48" s="9">
        <f>44802.69+279760.13+2699.41</f>
        <v>327262.23</v>
      </c>
      <c r="L48" s="9">
        <f>44802.69+1385067.18+2699.41</f>
        <v>1432569.2799999998</v>
      </c>
      <c r="M48" s="9">
        <f>42116.72+254470.54</f>
        <v>296587.26</v>
      </c>
      <c r="N48" s="9">
        <f>42116.72+1244334.04</f>
        <v>1286450.76</v>
      </c>
      <c r="O48" s="9"/>
      <c r="P48" s="9"/>
      <c r="Q48" s="7">
        <f>E48+G48+I48+K48+M48+O48</f>
        <v>7092982.58</v>
      </c>
      <c r="R48" s="7">
        <f>F48+H48+J48+L48+N48+P48</f>
        <v>6180964.390000001</v>
      </c>
      <c r="S48" s="7">
        <f>D48-Q48</f>
        <v>1092017.42</v>
      </c>
    </row>
    <row r="49" spans="1:19" ht="12.75">
      <c r="A49" s="21">
        <v>10</v>
      </c>
      <c r="B49" s="6" t="s">
        <v>49</v>
      </c>
      <c r="C49" s="7">
        <f aca="true" t="shared" si="9" ref="C49:P49">SUM(C50:C56)</f>
        <v>138189309.70999998</v>
      </c>
      <c r="D49" s="7">
        <f>SUM(D50:D56)</f>
        <v>158311743.62</v>
      </c>
      <c r="E49" s="7">
        <f t="shared" si="9"/>
        <v>27088286.75</v>
      </c>
      <c r="F49" s="7">
        <f t="shared" si="9"/>
        <v>16602714.489999998</v>
      </c>
      <c r="G49" s="7">
        <f t="shared" si="9"/>
        <v>18790239.68</v>
      </c>
      <c r="H49" s="7">
        <f t="shared" si="9"/>
        <v>21291787.56</v>
      </c>
      <c r="I49" s="7">
        <f t="shared" si="9"/>
        <v>24591396.14</v>
      </c>
      <c r="J49" s="7">
        <f t="shared" si="9"/>
        <v>21808765.139999997</v>
      </c>
      <c r="K49" s="7">
        <f t="shared" si="9"/>
        <v>19724112.85</v>
      </c>
      <c r="L49" s="7">
        <f t="shared" si="9"/>
        <v>20054619.45</v>
      </c>
      <c r="M49" s="7">
        <f t="shared" si="9"/>
        <v>29189543.889999997</v>
      </c>
      <c r="N49" s="7">
        <f t="shared" si="9"/>
        <v>26407755.78</v>
      </c>
      <c r="O49" s="7">
        <f t="shared" si="9"/>
        <v>0</v>
      </c>
      <c r="P49" s="7">
        <f t="shared" si="9"/>
        <v>0</v>
      </c>
      <c r="Q49" s="7">
        <f t="shared" si="6"/>
        <v>119383579.30999999</v>
      </c>
      <c r="R49" s="7">
        <f t="shared" si="6"/>
        <v>106165642.42</v>
      </c>
      <c r="S49" s="7">
        <f t="shared" si="2"/>
        <v>38928164.31000002</v>
      </c>
    </row>
    <row r="50" spans="1:19" ht="12.75">
      <c r="A50" s="5">
        <v>122</v>
      </c>
      <c r="B50" s="8" t="s">
        <v>6</v>
      </c>
      <c r="C50" s="24">
        <v>16212992.12</v>
      </c>
      <c r="D50" s="24">
        <v>13279998.12</v>
      </c>
      <c r="E50" s="24">
        <v>2008537.42</v>
      </c>
      <c r="F50" s="24">
        <v>1534026.36</v>
      </c>
      <c r="G50" s="24">
        <v>2464120.54</v>
      </c>
      <c r="H50" s="24">
        <v>2274650.41</v>
      </c>
      <c r="I50" s="29">
        <v>2177282.46</v>
      </c>
      <c r="J50" s="29">
        <v>2076850.15</v>
      </c>
      <c r="K50" s="24">
        <v>2085610.57</v>
      </c>
      <c r="L50" s="24">
        <v>1882485.94</v>
      </c>
      <c r="M50" s="24">
        <v>1546693.3</v>
      </c>
      <c r="N50" s="24">
        <v>1998284.11</v>
      </c>
      <c r="O50" s="24"/>
      <c r="P50" s="24"/>
      <c r="Q50" s="7">
        <f t="shared" si="6"/>
        <v>10282244.290000001</v>
      </c>
      <c r="R50" s="7">
        <f t="shared" si="6"/>
        <v>9766296.969999999</v>
      </c>
      <c r="S50" s="7">
        <f t="shared" si="2"/>
        <v>2997753.829999998</v>
      </c>
    </row>
    <row r="51" spans="1:19" ht="12.75">
      <c r="A51" s="5">
        <v>301</v>
      </c>
      <c r="B51" s="8" t="s">
        <v>50</v>
      </c>
      <c r="C51" s="24">
        <f>1742000+2400000</f>
        <v>4142000</v>
      </c>
      <c r="D51" s="24">
        <f>4942000+4100000</f>
        <v>9042000</v>
      </c>
      <c r="E51" s="24">
        <f>630070.97+64610.89+609866.34+9574+195945.23+1170760.01</f>
        <v>2680827.44</v>
      </c>
      <c r="F51" s="24">
        <f>343552.5+53610.89+419941.48+9574+70075.51+271790.3</f>
        <v>1168544.68</v>
      </c>
      <c r="G51" s="24">
        <f>433574+355400.85</f>
        <v>788974.85</v>
      </c>
      <c r="H51" s="24">
        <f>658464.79+571673.31</f>
        <v>1230138.1</v>
      </c>
      <c r="I51" s="24">
        <f>206079.14+675845.4</f>
        <v>881924.54</v>
      </c>
      <c r="J51" s="24">
        <f>1051842.21+829726.97-0.06</f>
        <v>1881569.1199999999</v>
      </c>
      <c r="K51" s="24">
        <f>-384.12+119.27</f>
        <v>-264.85</v>
      </c>
      <c r="L51" s="24">
        <f>972.91+38130.02</f>
        <v>39102.93</v>
      </c>
      <c r="M51" s="24">
        <f>1935133.68+1523522.14</f>
        <v>3458655.82</v>
      </c>
      <c r="N51" s="24">
        <f>1568519.96+1273220.4</f>
        <v>2841740.36</v>
      </c>
      <c r="O51" s="24"/>
      <c r="P51" s="24"/>
      <c r="Q51" s="7">
        <f>E51+G51+I51+K51+M51+O51</f>
        <v>7810117.800000001</v>
      </c>
      <c r="R51" s="7">
        <f>F51+H51+J51+L51+N51+P51</f>
        <v>7161095.1899999995</v>
      </c>
      <c r="S51" s="7">
        <f>D51-Q51</f>
        <v>1231882.1999999993</v>
      </c>
    </row>
    <row r="52" spans="1:19" ht="12.75">
      <c r="A52" s="5">
        <v>302</v>
      </c>
      <c r="B52" s="8" t="s">
        <v>51</v>
      </c>
      <c r="C52" s="9">
        <f>102318886.7+4350000</f>
        <v>106668886.7</v>
      </c>
      <c r="D52" s="9">
        <f>103533113.76+9140000</f>
        <v>112673113.76</v>
      </c>
      <c r="E52" s="9">
        <f>16452988.89+3138560.28+982094.31</f>
        <v>20573643.48</v>
      </c>
      <c r="F52" s="9">
        <f>11474634.36+1317437.45+600048.76</f>
        <v>13392120.569999998</v>
      </c>
      <c r="G52" s="9">
        <f>14718632.11+226927.2</f>
        <v>14945559.309999999</v>
      </c>
      <c r="H52" s="9">
        <f>15670980.27+1493636.56</f>
        <v>17164616.83</v>
      </c>
      <c r="I52" s="29">
        <f>15397696.77+177431</f>
        <v>15575127.77</v>
      </c>
      <c r="J52" s="29">
        <f>14400092.39+1001360.2</f>
        <v>15401452.59</v>
      </c>
      <c r="K52" s="9">
        <f>16545415.69+13150</f>
        <v>16558565.69</v>
      </c>
      <c r="L52" s="9">
        <f>16177647.67+59418.18</f>
        <v>16237065.85</v>
      </c>
      <c r="M52" s="9">
        <f>16382923.62+4028500</f>
        <v>20411423.619999997</v>
      </c>
      <c r="N52" s="9">
        <f>16400567.4+3019464.12</f>
        <v>19420031.52</v>
      </c>
      <c r="O52" s="9"/>
      <c r="P52" s="9"/>
      <c r="Q52" s="7">
        <f t="shared" si="6"/>
        <v>88064319.87</v>
      </c>
      <c r="R52" s="7">
        <f t="shared" si="6"/>
        <v>81615287.36</v>
      </c>
      <c r="S52" s="7">
        <f t="shared" si="2"/>
        <v>24608793.89</v>
      </c>
    </row>
    <row r="53" spans="1:19" ht="12.75">
      <c r="A53" s="5">
        <v>303</v>
      </c>
      <c r="B53" s="8" t="s">
        <v>52</v>
      </c>
      <c r="C53" s="9">
        <v>1542551</v>
      </c>
      <c r="D53" s="9">
        <v>1267918</v>
      </c>
      <c r="E53" s="9">
        <v>0</v>
      </c>
      <c r="F53" s="9">
        <v>0</v>
      </c>
      <c r="G53" s="9">
        <v>0</v>
      </c>
      <c r="H53" s="9">
        <v>0</v>
      </c>
      <c r="I53" s="29">
        <v>35575.5</v>
      </c>
      <c r="J53" s="29">
        <v>22345</v>
      </c>
      <c r="K53" s="9">
        <v>215483.49</v>
      </c>
      <c r="L53" s="9">
        <v>61871.48</v>
      </c>
      <c r="M53" s="9">
        <v>55610.2</v>
      </c>
      <c r="N53" s="9">
        <v>179026.21</v>
      </c>
      <c r="O53" s="9"/>
      <c r="P53" s="9"/>
      <c r="Q53" s="7">
        <f t="shared" si="6"/>
        <v>306669.19</v>
      </c>
      <c r="R53" s="7">
        <f t="shared" si="6"/>
        <v>263242.69</v>
      </c>
      <c r="S53" s="7">
        <f t="shared" si="2"/>
        <v>961248.81</v>
      </c>
    </row>
    <row r="54" spans="1:19" ht="12.75">
      <c r="A54" s="5">
        <v>304</v>
      </c>
      <c r="B54" s="8" t="s">
        <v>53</v>
      </c>
      <c r="C54" s="9">
        <v>4215675.99</v>
      </c>
      <c r="D54" s="9">
        <v>4865675.99</v>
      </c>
      <c r="E54" s="9">
        <v>514026.58</v>
      </c>
      <c r="F54" s="9">
        <v>506259.04</v>
      </c>
      <c r="G54" s="9">
        <v>577371.48</v>
      </c>
      <c r="H54" s="9">
        <v>558468.02</v>
      </c>
      <c r="I54" s="29">
        <v>584240.93</v>
      </c>
      <c r="J54" s="29">
        <v>564320.33</v>
      </c>
      <c r="K54" s="9">
        <v>695319.03</v>
      </c>
      <c r="L54" s="9">
        <v>706436.38</v>
      </c>
      <c r="M54" s="9">
        <v>596879.44</v>
      </c>
      <c r="N54" s="9">
        <v>575731.64</v>
      </c>
      <c r="O54" s="9"/>
      <c r="P54" s="9"/>
      <c r="Q54" s="7">
        <f t="shared" si="6"/>
        <v>2967837.4600000004</v>
      </c>
      <c r="R54" s="7">
        <f t="shared" si="6"/>
        <v>2911215.41</v>
      </c>
      <c r="S54" s="7">
        <f t="shared" si="2"/>
        <v>1897838.5299999998</v>
      </c>
    </row>
    <row r="55" spans="1:19" ht="12.75">
      <c r="A55" s="5">
        <v>331</v>
      </c>
      <c r="B55" s="8" t="s">
        <v>54</v>
      </c>
      <c r="C55" s="9">
        <v>0</v>
      </c>
      <c r="D55" s="9">
        <v>4199272</v>
      </c>
      <c r="E55" s="9"/>
      <c r="F55" s="9"/>
      <c r="G55" s="9"/>
      <c r="H55" s="9"/>
      <c r="I55" s="29">
        <v>3851226.71</v>
      </c>
      <c r="J55" s="29">
        <v>1670945.11</v>
      </c>
      <c r="K55" s="9">
        <v>-17840.09</v>
      </c>
      <c r="L55" s="9">
        <v>924340.09</v>
      </c>
      <c r="M55" s="9">
        <v>103776.61</v>
      </c>
      <c r="N55" s="9">
        <v>721688.03</v>
      </c>
      <c r="O55" s="9"/>
      <c r="P55" s="9"/>
      <c r="Q55" s="7">
        <f>E55+G55+I55+K55+M55+O55</f>
        <v>3937163.23</v>
      </c>
      <c r="R55" s="7">
        <f>F55+H55+J55+L55+N55+P55</f>
        <v>3316973.2300000004</v>
      </c>
      <c r="S55" s="7">
        <f>D55-Q55</f>
        <v>262108.77000000002</v>
      </c>
    </row>
    <row r="56" spans="1:19" ht="12.75">
      <c r="A56" s="5">
        <v>451</v>
      </c>
      <c r="B56" s="8" t="s">
        <v>65</v>
      </c>
      <c r="C56" s="9">
        <v>5407203.9</v>
      </c>
      <c r="D56" s="9">
        <v>12983765.75</v>
      </c>
      <c r="E56" s="9">
        <v>1311251.83</v>
      </c>
      <c r="F56" s="9">
        <v>1763.84</v>
      </c>
      <c r="G56" s="9">
        <v>14213.5</v>
      </c>
      <c r="H56" s="9">
        <v>63914.2</v>
      </c>
      <c r="I56" s="29">
        <v>1486018.23</v>
      </c>
      <c r="J56" s="29">
        <v>191282.84</v>
      </c>
      <c r="K56" s="9">
        <v>187239.01</v>
      </c>
      <c r="L56" s="9">
        <v>203316.78</v>
      </c>
      <c r="M56" s="9">
        <v>3016504.9</v>
      </c>
      <c r="N56" s="9">
        <v>671253.91</v>
      </c>
      <c r="O56" s="9"/>
      <c r="P56" s="9"/>
      <c r="Q56" s="7">
        <f t="shared" si="6"/>
        <v>6015227.470000001</v>
      </c>
      <c r="R56" s="7">
        <f t="shared" si="6"/>
        <v>1131531.57</v>
      </c>
      <c r="S56" s="7">
        <f t="shared" si="2"/>
        <v>6968538.279999999</v>
      </c>
    </row>
    <row r="57" spans="1:19" ht="12.75">
      <c r="A57" s="21">
        <v>11</v>
      </c>
      <c r="B57" s="6" t="s">
        <v>15</v>
      </c>
      <c r="C57" s="7">
        <f>SUM(C58:C64)</f>
        <v>29445874.679999996</v>
      </c>
      <c r="D57" s="7">
        <f>SUM(D58:D64)</f>
        <v>17310091.31</v>
      </c>
      <c r="E57" s="7">
        <f aca="true" t="shared" si="10" ref="E57:P57">SUM(E58:E64)</f>
        <v>16008430.870000001</v>
      </c>
      <c r="F57" s="7">
        <f t="shared" si="10"/>
        <v>3171398.4499999997</v>
      </c>
      <c r="G57" s="7">
        <f t="shared" si="10"/>
        <v>837202.65</v>
      </c>
      <c r="H57" s="7">
        <f t="shared" si="10"/>
        <v>3721373.8200000003</v>
      </c>
      <c r="I57" s="7">
        <f t="shared" si="10"/>
        <v>-4198156.550000001</v>
      </c>
      <c r="J57" s="7">
        <f t="shared" si="10"/>
        <v>-36271.06999999989</v>
      </c>
      <c r="K57" s="7">
        <f t="shared" si="10"/>
        <v>647070.44</v>
      </c>
      <c r="L57" s="7">
        <f t="shared" si="10"/>
        <v>2939493.3</v>
      </c>
      <c r="M57" s="7">
        <f t="shared" si="10"/>
        <v>1861481.42</v>
      </c>
      <c r="N57" s="7">
        <f t="shared" si="10"/>
        <v>2711666.46</v>
      </c>
      <c r="O57" s="7">
        <f t="shared" si="10"/>
        <v>0</v>
      </c>
      <c r="P57" s="7">
        <f t="shared" si="10"/>
        <v>0</v>
      </c>
      <c r="Q57" s="7">
        <f t="shared" si="6"/>
        <v>15156028.829999998</v>
      </c>
      <c r="R57" s="7">
        <f t="shared" si="6"/>
        <v>12507660.96</v>
      </c>
      <c r="S57" s="7">
        <f t="shared" si="2"/>
        <v>2154062.4800000004</v>
      </c>
    </row>
    <row r="58" spans="1:19" ht="12.75">
      <c r="A58" s="5">
        <v>122</v>
      </c>
      <c r="B58" s="8" t="s">
        <v>6</v>
      </c>
      <c r="C58" s="24">
        <v>2838086.35</v>
      </c>
      <c r="D58" s="24">
        <v>2488798.33</v>
      </c>
      <c r="E58" s="24">
        <v>375718.17</v>
      </c>
      <c r="F58" s="24">
        <v>298322.17</v>
      </c>
      <c r="G58" s="24">
        <v>303755.81</v>
      </c>
      <c r="H58" s="24">
        <v>312359.83</v>
      </c>
      <c r="I58" s="29">
        <v>305507.46</v>
      </c>
      <c r="J58" s="29">
        <v>327369.36</v>
      </c>
      <c r="K58" s="24">
        <v>283178.4</v>
      </c>
      <c r="L58" s="24">
        <v>290278.4</v>
      </c>
      <c r="M58" s="24">
        <v>537266.94</v>
      </c>
      <c r="N58" s="24">
        <v>316746.94</v>
      </c>
      <c r="O58" s="24"/>
      <c r="P58" s="24"/>
      <c r="Q58" s="7">
        <f t="shared" si="6"/>
        <v>1805426.7799999998</v>
      </c>
      <c r="R58" s="7">
        <f t="shared" si="6"/>
        <v>1545076.7</v>
      </c>
      <c r="S58" s="7">
        <f t="shared" si="2"/>
        <v>683371.5500000003</v>
      </c>
    </row>
    <row r="59" spans="1:19" ht="12.75">
      <c r="A59" s="5">
        <v>123</v>
      </c>
      <c r="B59" s="8" t="s">
        <v>34</v>
      </c>
      <c r="C59" s="24">
        <v>298000</v>
      </c>
      <c r="D59" s="24">
        <v>150000</v>
      </c>
      <c r="E59" s="24">
        <v>0</v>
      </c>
      <c r="F59" s="24">
        <v>0</v>
      </c>
      <c r="G59" s="24">
        <v>0</v>
      </c>
      <c r="H59" s="24">
        <v>0</v>
      </c>
      <c r="I59" s="29">
        <v>0</v>
      </c>
      <c r="J59" s="29">
        <v>0</v>
      </c>
      <c r="K59" s="24">
        <v>0</v>
      </c>
      <c r="L59" s="24">
        <v>0</v>
      </c>
      <c r="M59" s="24">
        <v>0</v>
      </c>
      <c r="N59" s="24">
        <v>0</v>
      </c>
      <c r="O59" s="24"/>
      <c r="P59" s="24"/>
      <c r="Q59" s="7">
        <f t="shared" si="6"/>
        <v>0</v>
      </c>
      <c r="R59" s="7">
        <f t="shared" si="6"/>
        <v>0</v>
      </c>
      <c r="S59" s="7">
        <f t="shared" si="2"/>
        <v>150000</v>
      </c>
    </row>
    <row r="60" spans="1:19" ht="12.75">
      <c r="A60" s="5">
        <v>244</v>
      </c>
      <c r="B60" s="8" t="s">
        <v>17</v>
      </c>
      <c r="C60" s="24">
        <v>3773842</v>
      </c>
      <c r="D60" s="24">
        <v>5521137.15</v>
      </c>
      <c r="E60" s="24">
        <v>2392448.54</v>
      </c>
      <c r="F60" s="24">
        <v>675471.02</v>
      </c>
      <c r="G60" s="24">
        <v>145019.7</v>
      </c>
      <c r="H60" s="24">
        <v>894484.48</v>
      </c>
      <c r="I60" s="29">
        <v>1678558.53</v>
      </c>
      <c r="J60" s="29">
        <v>822644.3</v>
      </c>
      <c r="K60" s="24">
        <v>115465.31</v>
      </c>
      <c r="L60" s="24">
        <v>863278.18</v>
      </c>
      <c r="M60" s="24">
        <v>912734.08</v>
      </c>
      <c r="N60" s="24">
        <v>932861.11</v>
      </c>
      <c r="O60" s="24"/>
      <c r="P60" s="24"/>
      <c r="Q60" s="7">
        <f t="shared" si="6"/>
        <v>5244226.16</v>
      </c>
      <c r="R60" s="7">
        <f t="shared" si="6"/>
        <v>4188739.09</v>
      </c>
      <c r="S60" s="7">
        <f t="shared" si="2"/>
        <v>276910.9900000002</v>
      </c>
    </row>
    <row r="61" spans="1:19" ht="12.75">
      <c r="A61" s="5">
        <v>331</v>
      </c>
      <c r="B61" s="8" t="s">
        <v>54</v>
      </c>
      <c r="C61" s="9">
        <v>21864316.2</v>
      </c>
      <c r="D61" s="9">
        <v>8595176.7</v>
      </c>
      <c r="E61" s="9">
        <v>13184785.68</v>
      </c>
      <c r="F61" s="9">
        <v>2142126.78</v>
      </c>
      <c r="G61" s="9">
        <v>330322.56</v>
      </c>
      <c r="H61" s="9">
        <v>2456424.93</v>
      </c>
      <c r="I61" s="29">
        <v>-6249890.57</v>
      </c>
      <c r="J61" s="29">
        <v>-1251565.04</v>
      </c>
      <c r="K61" s="9">
        <v>117827.91</v>
      </c>
      <c r="L61" s="9">
        <v>1652950.18</v>
      </c>
      <c r="M61" s="9">
        <v>279536.65</v>
      </c>
      <c r="N61" s="9">
        <v>1334450.16</v>
      </c>
      <c r="O61" s="9"/>
      <c r="P61" s="9"/>
      <c r="Q61" s="7">
        <f t="shared" si="6"/>
        <v>7662582.23</v>
      </c>
      <c r="R61" s="7">
        <f t="shared" si="6"/>
        <v>6334387.01</v>
      </c>
      <c r="S61" s="7">
        <f t="shared" si="2"/>
        <v>932594.4699999988</v>
      </c>
    </row>
    <row r="62" spans="1:19" ht="12.75">
      <c r="A62" s="5">
        <v>332</v>
      </c>
      <c r="B62" s="8" t="s">
        <v>55</v>
      </c>
      <c r="C62" s="9">
        <v>369210.13</v>
      </c>
      <c r="D62" s="9">
        <v>533210.13</v>
      </c>
      <c r="E62" s="9">
        <v>55478.48</v>
      </c>
      <c r="F62" s="9">
        <v>55478.48</v>
      </c>
      <c r="G62" s="9">
        <v>58104.58</v>
      </c>
      <c r="H62" s="9">
        <v>58104.58</v>
      </c>
      <c r="I62" s="29">
        <v>63415.31</v>
      </c>
      <c r="J62" s="29">
        <v>63415.31</v>
      </c>
      <c r="K62" s="9">
        <v>130773.82</v>
      </c>
      <c r="L62" s="9">
        <v>130773.82</v>
      </c>
      <c r="M62" s="9">
        <v>127253.25</v>
      </c>
      <c r="N62" s="9">
        <v>127253.25</v>
      </c>
      <c r="O62" s="9"/>
      <c r="P62" s="9"/>
      <c r="Q62" s="7">
        <f t="shared" si="6"/>
        <v>435025.44</v>
      </c>
      <c r="R62" s="7">
        <f t="shared" si="6"/>
        <v>435025.44</v>
      </c>
      <c r="S62" s="7">
        <f t="shared" si="2"/>
        <v>98184.69</v>
      </c>
    </row>
    <row r="63" spans="1:19" ht="12.75">
      <c r="A63" s="5">
        <v>334</v>
      </c>
      <c r="B63" s="8" t="s">
        <v>56</v>
      </c>
      <c r="C63" s="9">
        <v>292420</v>
      </c>
      <c r="D63" s="9">
        <v>21564</v>
      </c>
      <c r="E63" s="9">
        <v>0</v>
      </c>
      <c r="F63" s="9">
        <v>0</v>
      </c>
      <c r="G63" s="9">
        <v>0</v>
      </c>
      <c r="H63" s="9">
        <v>0</v>
      </c>
      <c r="I63" s="29">
        <v>3872.72</v>
      </c>
      <c r="J63" s="29">
        <v>1485</v>
      </c>
      <c r="K63" s="9">
        <v>0</v>
      </c>
      <c r="L63" s="9">
        <v>2387.72</v>
      </c>
      <c r="M63" s="9">
        <v>4690.5</v>
      </c>
      <c r="N63" s="9">
        <v>355</v>
      </c>
      <c r="O63" s="9"/>
      <c r="P63" s="9"/>
      <c r="Q63" s="7">
        <f t="shared" si="6"/>
        <v>8563.22</v>
      </c>
      <c r="R63" s="7">
        <f t="shared" si="6"/>
        <v>4227.719999999999</v>
      </c>
      <c r="S63" s="7">
        <f t="shared" si="2"/>
        <v>13000.78</v>
      </c>
    </row>
    <row r="64" spans="1:19" ht="12.75">
      <c r="A64" s="5">
        <v>363</v>
      </c>
      <c r="B64" s="8" t="s">
        <v>59</v>
      </c>
      <c r="C64" s="9">
        <v>10000</v>
      </c>
      <c r="D64" s="9">
        <v>205</v>
      </c>
      <c r="E64" s="9">
        <v>0</v>
      </c>
      <c r="F64" s="9">
        <v>0</v>
      </c>
      <c r="G64" s="9">
        <v>0</v>
      </c>
      <c r="H64" s="9">
        <v>0</v>
      </c>
      <c r="I64" s="29">
        <v>380</v>
      </c>
      <c r="J64" s="29">
        <v>380</v>
      </c>
      <c r="K64" s="9">
        <v>-175</v>
      </c>
      <c r="L64" s="9">
        <v>-175</v>
      </c>
      <c r="M64" s="9">
        <v>0</v>
      </c>
      <c r="N64" s="9">
        <v>0</v>
      </c>
      <c r="O64" s="9"/>
      <c r="P64" s="9"/>
      <c r="Q64" s="7">
        <f t="shared" si="6"/>
        <v>205</v>
      </c>
      <c r="R64" s="7">
        <f t="shared" si="6"/>
        <v>205</v>
      </c>
      <c r="S64" s="7">
        <f t="shared" si="2"/>
        <v>0</v>
      </c>
    </row>
    <row r="65" spans="1:19" ht="12.75">
      <c r="A65" s="21">
        <v>12</v>
      </c>
      <c r="B65" s="6" t="s">
        <v>57</v>
      </c>
      <c r="C65" s="7">
        <f>SUM(C66:C72)</f>
        <v>129927080</v>
      </c>
      <c r="D65" s="7">
        <f>SUM(D66:D72)</f>
        <v>161963288.15</v>
      </c>
      <c r="E65" s="7">
        <f aca="true" t="shared" si="11" ref="E65:P65">SUM(E66:E72)</f>
        <v>14462986.82</v>
      </c>
      <c r="F65" s="7">
        <f t="shared" si="11"/>
        <v>7088384.6</v>
      </c>
      <c r="G65" s="7">
        <f t="shared" si="11"/>
        <v>17446792.68</v>
      </c>
      <c r="H65" s="7">
        <f t="shared" si="11"/>
        <v>11422661.29</v>
      </c>
      <c r="I65" s="7">
        <f t="shared" si="11"/>
        <v>51308557.88</v>
      </c>
      <c r="J65" s="7">
        <f t="shared" si="11"/>
        <v>16909269.08</v>
      </c>
      <c r="K65" s="7">
        <f t="shared" si="11"/>
        <v>20141153.13</v>
      </c>
      <c r="L65" s="7">
        <f t="shared" si="11"/>
        <v>17448143.47</v>
      </c>
      <c r="M65" s="7">
        <f t="shared" si="11"/>
        <v>18673188.13</v>
      </c>
      <c r="N65" s="7">
        <f t="shared" si="11"/>
        <v>22232449.26</v>
      </c>
      <c r="O65" s="7">
        <f t="shared" si="11"/>
        <v>0</v>
      </c>
      <c r="P65" s="7">
        <f t="shared" si="11"/>
        <v>0</v>
      </c>
      <c r="Q65" s="7">
        <f t="shared" si="6"/>
        <v>122032678.63999999</v>
      </c>
      <c r="R65" s="7">
        <f t="shared" si="6"/>
        <v>75100907.7</v>
      </c>
      <c r="S65" s="7">
        <f t="shared" si="2"/>
        <v>39930609.51000002</v>
      </c>
    </row>
    <row r="66" spans="1:19" ht="12.75">
      <c r="A66" s="5">
        <v>122</v>
      </c>
      <c r="B66" s="8" t="s">
        <v>6</v>
      </c>
      <c r="C66" s="24">
        <v>6196278</v>
      </c>
      <c r="D66" s="24">
        <v>6550478</v>
      </c>
      <c r="E66" s="24">
        <v>1093517.19</v>
      </c>
      <c r="F66" s="24">
        <v>899929.63</v>
      </c>
      <c r="G66" s="24">
        <v>659989.07</v>
      </c>
      <c r="H66" s="24">
        <v>728150.43</v>
      </c>
      <c r="I66" s="29">
        <v>647681.63</v>
      </c>
      <c r="J66" s="29">
        <v>695754.71</v>
      </c>
      <c r="K66" s="24">
        <v>521664.63</v>
      </c>
      <c r="L66" s="24">
        <v>513327.21</v>
      </c>
      <c r="M66" s="24">
        <v>509948.97</v>
      </c>
      <c r="N66" s="24">
        <v>532794.57</v>
      </c>
      <c r="O66" s="24"/>
      <c r="P66" s="24"/>
      <c r="Q66" s="7">
        <f t="shared" si="6"/>
        <v>3432801.4899999993</v>
      </c>
      <c r="R66" s="7">
        <f t="shared" si="6"/>
        <v>3369956.55</v>
      </c>
      <c r="S66" s="7">
        <f t="shared" si="2"/>
        <v>3117676.5100000007</v>
      </c>
    </row>
    <row r="67" spans="1:19" ht="12.75">
      <c r="A67" s="5">
        <v>271</v>
      </c>
      <c r="B67" s="8" t="s">
        <v>47</v>
      </c>
      <c r="C67" s="24">
        <v>20000</v>
      </c>
      <c r="D67" s="24">
        <v>20000</v>
      </c>
      <c r="E67" s="24">
        <v>0</v>
      </c>
      <c r="F67" s="24">
        <v>0</v>
      </c>
      <c r="G67" s="24">
        <v>0</v>
      </c>
      <c r="H67" s="24">
        <v>0</v>
      </c>
      <c r="I67" s="29">
        <v>0</v>
      </c>
      <c r="J67" s="29">
        <v>0</v>
      </c>
      <c r="K67" s="24">
        <v>0</v>
      </c>
      <c r="L67" s="24">
        <v>0</v>
      </c>
      <c r="M67" s="24">
        <v>0</v>
      </c>
      <c r="N67" s="24">
        <v>0</v>
      </c>
      <c r="O67" s="24"/>
      <c r="P67" s="24"/>
      <c r="Q67" s="7">
        <f t="shared" si="6"/>
        <v>0</v>
      </c>
      <c r="R67" s="7">
        <f t="shared" si="6"/>
        <v>0</v>
      </c>
      <c r="S67" s="7">
        <f t="shared" si="2"/>
        <v>20000</v>
      </c>
    </row>
    <row r="68" spans="1:19" ht="12.75">
      <c r="A68" s="5">
        <v>306</v>
      </c>
      <c r="B68" s="8" t="s">
        <v>11</v>
      </c>
      <c r="C68" s="24">
        <v>4842400</v>
      </c>
      <c r="D68" s="24">
        <v>4267200</v>
      </c>
      <c r="E68" s="24">
        <v>349378.93</v>
      </c>
      <c r="F68" s="24">
        <v>10559.01</v>
      </c>
      <c r="G68" s="24">
        <v>675752.97</v>
      </c>
      <c r="H68" s="24">
        <v>377204.76</v>
      </c>
      <c r="I68" s="29">
        <v>621859.54</v>
      </c>
      <c r="J68" s="29">
        <v>685155.63</v>
      </c>
      <c r="K68" s="24">
        <v>947502.9</v>
      </c>
      <c r="L68" s="24">
        <v>649294.46</v>
      </c>
      <c r="M68" s="24">
        <v>563234.94</v>
      </c>
      <c r="N68" s="24">
        <v>710747.81</v>
      </c>
      <c r="O68" s="24"/>
      <c r="P68" s="24"/>
      <c r="Q68" s="7">
        <f t="shared" si="6"/>
        <v>3157729.28</v>
      </c>
      <c r="R68" s="7">
        <f t="shared" si="6"/>
        <v>2432961.67</v>
      </c>
      <c r="S68" s="7">
        <f t="shared" si="2"/>
        <v>1109470.7200000002</v>
      </c>
    </row>
    <row r="69" spans="1:19" ht="12.75">
      <c r="A69" s="5">
        <v>361</v>
      </c>
      <c r="B69" s="8" t="s">
        <v>58</v>
      </c>
      <c r="C69" s="9">
        <v>56668146</v>
      </c>
      <c r="D69" s="9">
        <v>75225005.06</v>
      </c>
      <c r="E69" s="9">
        <v>8490698.21</v>
      </c>
      <c r="F69" s="9">
        <v>4568806.92</v>
      </c>
      <c r="G69" s="9">
        <v>9663640.84</v>
      </c>
      <c r="H69" s="9">
        <v>6658197.43</v>
      </c>
      <c r="I69" s="29">
        <v>28301362.35</v>
      </c>
      <c r="J69" s="29">
        <v>9677780.49</v>
      </c>
      <c r="K69" s="9">
        <v>9854127.43</v>
      </c>
      <c r="L69" s="9">
        <v>9332039.48</v>
      </c>
      <c r="M69" s="9">
        <v>9952187.61</v>
      </c>
      <c r="N69" s="9">
        <v>10323880.38</v>
      </c>
      <c r="O69" s="9"/>
      <c r="P69" s="9"/>
      <c r="Q69" s="7">
        <f t="shared" si="6"/>
        <v>66262016.440000005</v>
      </c>
      <c r="R69" s="7">
        <f t="shared" si="6"/>
        <v>40560704.7</v>
      </c>
      <c r="S69" s="7">
        <f t="shared" si="2"/>
        <v>8962988.619999997</v>
      </c>
    </row>
    <row r="70" spans="1:19" ht="12.75">
      <c r="A70" s="5">
        <v>365</v>
      </c>
      <c r="B70" s="8" t="s">
        <v>60</v>
      </c>
      <c r="C70" s="9">
        <v>58540256</v>
      </c>
      <c r="D70" s="9">
        <v>75084561.82</v>
      </c>
      <c r="E70" s="9">
        <v>4529392.49</v>
      </c>
      <c r="F70" s="9">
        <v>1609089.04</v>
      </c>
      <c r="G70" s="9">
        <v>6447409.8</v>
      </c>
      <c r="H70" s="9">
        <v>3659108.67</v>
      </c>
      <c r="I70" s="29">
        <v>21737654.36</v>
      </c>
      <c r="J70" s="29">
        <v>5850578.25</v>
      </c>
      <c r="K70" s="9">
        <v>8351529.9</v>
      </c>
      <c r="L70" s="9">
        <v>6841611.32</v>
      </c>
      <c r="M70" s="9">
        <v>7581932.61</v>
      </c>
      <c r="N70" s="9">
        <v>10617370.5</v>
      </c>
      <c r="O70" s="9"/>
      <c r="P70" s="9"/>
      <c r="Q70" s="7">
        <f t="shared" si="6"/>
        <v>48647919.16</v>
      </c>
      <c r="R70" s="7">
        <f t="shared" si="6"/>
        <v>28577757.78</v>
      </c>
      <c r="S70" s="7">
        <f t="shared" si="2"/>
        <v>26436642.659999996</v>
      </c>
    </row>
    <row r="71" spans="1:19" ht="12.75">
      <c r="A71" s="5">
        <v>366</v>
      </c>
      <c r="B71" s="8" t="s">
        <v>61</v>
      </c>
      <c r="C71" s="9">
        <v>1600000</v>
      </c>
      <c r="D71" s="9">
        <v>500000</v>
      </c>
      <c r="E71" s="9">
        <v>0</v>
      </c>
      <c r="F71" s="9">
        <v>0</v>
      </c>
      <c r="G71" s="9">
        <v>0</v>
      </c>
      <c r="H71" s="9">
        <v>0</v>
      </c>
      <c r="I71" s="29">
        <v>0</v>
      </c>
      <c r="J71" s="29">
        <v>0</v>
      </c>
      <c r="K71" s="9">
        <v>150285</v>
      </c>
      <c r="L71" s="9">
        <v>111871</v>
      </c>
      <c r="M71" s="9">
        <v>65884</v>
      </c>
      <c r="N71" s="9">
        <v>47656</v>
      </c>
      <c r="O71" s="9"/>
      <c r="P71" s="9"/>
      <c r="Q71" s="7">
        <f t="shared" si="6"/>
        <v>216169</v>
      </c>
      <c r="R71" s="7">
        <f t="shared" si="6"/>
        <v>159527</v>
      </c>
      <c r="S71" s="7">
        <f t="shared" si="2"/>
        <v>283831</v>
      </c>
    </row>
    <row r="72" spans="1:19" ht="12.75">
      <c r="A72" s="5">
        <v>367</v>
      </c>
      <c r="B72" s="8" t="s">
        <v>62</v>
      </c>
      <c r="C72" s="9">
        <v>2060000</v>
      </c>
      <c r="D72" s="9">
        <v>316043.27</v>
      </c>
      <c r="E72" s="9">
        <v>0</v>
      </c>
      <c r="F72" s="9">
        <v>0</v>
      </c>
      <c r="G72" s="9">
        <v>0</v>
      </c>
      <c r="H72" s="9">
        <v>0</v>
      </c>
      <c r="I72" s="29">
        <v>0</v>
      </c>
      <c r="J72" s="29">
        <v>0</v>
      </c>
      <c r="K72" s="9">
        <v>316043.27</v>
      </c>
      <c r="L72" s="9">
        <v>0</v>
      </c>
      <c r="M72" s="9">
        <v>0</v>
      </c>
      <c r="N72" s="9">
        <v>0</v>
      </c>
      <c r="O72" s="9"/>
      <c r="P72" s="9"/>
      <c r="Q72" s="7">
        <f t="shared" si="6"/>
        <v>316043.27</v>
      </c>
      <c r="R72" s="7">
        <f t="shared" si="6"/>
        <v>0</v>
      </c>
      <c r="S72" s="7">
        <f t="shared" si="2"/>
        <v>0</v>
      </c>
    </row>
    <row r="73" spans="1:19" ht="12.75">
      <c r="A73" s="21">
        <v>13</v>
      </c>
      <c r="B73" s="6" t="s">
        <v>12</v>
      </c>
      <c r="C73" s="7">
        <f>SUM(C74:C77)</f>
        <v>5131671.04</v>
      </c>
      <c r="D73" s="7">
        <f>SUM(D74:D77)</f>
        <v>5772110.06</v>
      </c>
      <c r="E73" s="7">
        <f aca="true" t="shared" si="12" ref="E73:P73">SUM(E74:E77)</f>
        <v>1168401.23</v>
      </c>
      <c r="F73" s="7">
        <f t="shared" si="12"/>
        <v>700856.88</v>
      </c>
      <c r="G73" s="7">
        <f t="shared" si="12"/>
        <v>678738.38</v>
      </c>
      <c r="H73" s="7">
        <f t="shared" si="12"/>
        <v>987035.45</v>
      </c>
      <c r="I73" s="7">
        <f t="shared" si="12"/>
        <v>1056296.6800000002</v>
      </c>
      <c r="J73" s="7">
        <f t="shared" si="12"/>
        <v>905058.05</v>
      </c>
      <c r="K73" s="7">
        <f t="shared" si="12"/>
        <v>950027.82</v>
      </c>
      <c r="L73" s="7">
        <f t="shared" si="12"/>
        <v>870276.67</v>
      </c>
      <c r="M73" s="7">
        <f t="shared" si="12"/>
        <v>905210.22</v>
      </c>
      <c r="N73" s="7">
        <f t="shared" si="12"/>
        <v>914772.73</v>
      </c>
      <c r="O73" s="7">
        <f t="shared" si="12"/>
        <v>0</v>
      </c>
      <c r="P73" s="7">
        <f t="shared" si="12"/>
        <v>0</v>
      </c>
      <c r="Q73" s="7">
        <f t="shared" si="6"/>
        <v>4758674.33</v>
      </c>
      <c r="R73" s="7">
        <f t="shared" si="6"/>
        <v>4377999.779999999</v>
      </c>
      <c r="S73" s="7">
        <f t="shared" si="2"/>
        <v>1013435.7299999995</v>
      </c>
    </row>
    <row r="74" spans="1:19" ht="12.75">
      <c r="A74" s="5">
        <v>122</v>
      </c>
      <c r="B74" s="8" t="s">
        <v>6</v>
      </c>
      <c r="C74" s="24">
        <v>1000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9">
        <v>0</v>
      </c>
      <c r="J74" s="29">
        <v>0</v>
      </c>
      <c r="K74" s="24">
        <v>0</v>
      </c>
      <c r="L74" s="24">
        <v>0</v>
      </c>
      <c r="M74" s="24">
        <v>0</v>
      </c>
      <c r="N74" s="24">
        <v>0</v>
      </c>
      <c r="O74" s="24"/>
      <c r="P74" s="24"/>
      <c r="Q74" s="7">
        <f t="shared" si="6"/>
        <v>0</v>
      </c>
      <c r="R74" s="7">
        <f t="shared" si="6"/>
        <v>0</v>
      </c>
      <c r="S74" s="7">
        <f t="shared" si="2"/>
        <v>0</v>
      </c>
    </row>
    <row r="75" spans="1:19" ht="12.75">
      <c r="A75" s="5">
        <v>391</v>
      </c>
      <c r="B75" s="8" t="s">
        <v>63</v>
      </c>
      <c r="C75" s="9">
        <v>80000</v>
      </c>
      <c r="D75" s="9">
        <v>3429.75</v>
      </c>
      <c r="E75" s="9">
        <v>1779.75</v>
      </c>
      <c r="F75" s="9">
        <v>0</v>
      </c>
      <c r="G75" s="9">
        <v>0</v>
      </c>
      <c r="H75" s="9">
        <v>1779.75</v>
      </c>
      <c r="I75" s="29">
        <v>0</v>
      </c>
      <c r="J75" s="29">
        <v>0</v>
      </c>
      <c r="K75" s="9">
        <v>1650</v>
      </c>
      <c r="L75" s="9">
        <v>1650</v>
      </c>
      <c r="M75" s="9">
        <v>0</v>
      </c>
      <c r="N75" s="9">
        <v>0</v>
      </c>
      <c r="O75" s="9"/>
      <c r="P75" s="9"/>
      <c r="Q75" s="7">
        <f t="shared" si="6"/>
        <v>3429.75</v>
      </c>
      <c r="R75" s="7">
        <f t="shared" si="6"/>
        <v>3429.75</v>
      </c>
      <c r="S75" s="7">
        <f t="shared" si="2"/>
        <v>0</v>
      </c>
    </row>
    <row r="76" spans="1:19" ht="12.75">
      <c r="A76" s="5">
        <v>392</v>
      </c>
      <c r="B76" s="8" t="s">
        <v>13</v>
      </c>
      <c r="C76" s="9">
        <v>4636671.04</v>
      </c>
      <c r="D76" s="9">
        <v>5472430.31</v>
      </c>
      <c r="E76" s="9">
        <v>1166621.48</v>
      </c>
      <c r="F76" s="9">
        <v>700856.88</v>
      </c>
      <c r="G76" s="9">
        <v>678738.38</v>
      </c>
      <c r="H76" s="9">
        <v>985255.7</v>
      </c>
      <c r="I76" s="29">
        <v>760046.68</v>
      </c>
      <c r="J76" s="29">
        <v>818808.05</v>
      </c>
      <c r="K76" s="9">
        <v>948377.82</v>
      </c>
      <c r="L76" s="9">
        <v>816126.67</v>
      </c>
      <c r="M76" s="9">
        <v>905210.22</v>
      </c>
      <c r="N76" s="9">
        <v>862272.73</v>
      </c>
      <c r="O76" s="9"/>
      <c r="P76" s="9"/>
      <c r="Q76" s="7">
        <f t="shared" si="6"/>
        <v>4458994.58</v>
      </c>
      <c r="R76" s="7">
        <f t="shared" si="6"/>
        <v>4183320.03</v>
      </c>
      <c r="S76" s="7">
        <f t="shared" si="2"/>
        <v>1013435.7299999995</v>
      </c>
    </row>
    <row r="77" spans="1:19" ht="12.75">
      <c r="A77" s="5">
        <v>451</v>
      </c>
      <c r="B77" s="8" t="s">
        <v>65</v>
      </c>
      <c r="C77" s="9">
        <v>414000</v>
      </c>
      <c r="D77" s="9">
        <v>296250</v>
      </c>
      <c r="E77" s="9">
        <v>0</v>
      </c>
      <c r="F77" s="9">
        <v>0</v>
      </c>
      <c r="G77" s="9">
        <v>0</v>
      </c>
      <c r="H77" s="9">
        <v>0</v>
      </c>
      <c r="I77" s="29">
        <v>296250</v>
      </c>
      <c r="J77" s="29">
        <v>86250</v>
      </c>
      <c r="K77" s="9">
        <v>0</v>
      </c>
      <c r="L77" s="9">
        <v>52500</v>
      </c>
      <c r="M77" s="9">
        <v>0</v>
      </c>
      <c r="N77" s="9">
        <v>52500</v>
      </c>
      <c r="O77" s="9"/>
      <c r="P77" s="9"/>
      <c r="Q77" s="7">
        <f t="shared" si="6"/>
        <v>296250</v>
      </c>
      <c r="R77" s="7">
        <f t="shared" si="6"/>
        <v>191250</v>
      </c>
      <c r="S77" s="7">
        <f t="shared" si="2"/>
        <v>0</v>
      </c>
    </row>
    <row r="78" spans="1:19" ht="12.75">
      <c r="A78" s="21">
        <v>14</v>
      </c>
      <c r="B78" s="6" t="s">
        <v>93</v>
      </c>
      <c r="C78" s="7">
        <f>SUM(C79:C79)</f>
        <v>7620</v>
      </c>
      <c r="D78" s="7">
        <f>SUM(D79:D79)</f>
        <v>184.32</v>
      </c>
      <c r="E78" s="7">
        <f aca="true" t="shared" si="13" ref="E78:P78">SUM(E79:E79)</f>
        <v>0</v>
      </c>
      <c r="F78" s="7">
        <f t="shared" si="13"/>
        <v>0</v>
      </c>
      <c r="G78" s="7">
        <f t="shared" si="13"/>
        <v>0</v>
      </c>
      <c r="H78" s="7">
        <f t="shared" si="13"/>
        <v>0</v>
      </c>
      <c r="I78" s="7">
        <f t="shared" si="13"/>
        <v>184.32</v>
      </c>
      <c r="J78" s="7">
        <f t="shared" si="13"/>
        <v>184.32</v>
      </c>
      <c r="K78" s="7">
        <f t="shared" si="13"/>
        <v>0</v>
      </c>
      <c r="L78" s="7">
        <f t="shared" si="13"/>
        <v>0</v>
      </c>
      <c r="M78" s="7">
        <f t="shared" si="13"/>
        <v>0</v>
      </c>
      <c r="N78" s="7">
        <f t="shared" si="13"/>
        <v>0</v>
      </c>
      <c r="O78" s="7">
        <f t="shared" si="13"/>
        <v>0</v>
      </c>
      <c r="P78" s="7">
        <f t="shared" si="13"/>
        <v>0</v>
      </c>
      <c r="Q78" s="7">
        <f t="shared" si="6"/>
        <v>184.32</v>
      </c>
      <c r="R78" s="7">
        <f t="shared" si="6"/>
        <v>184.32</v>
      </c>
      <c r="S78" s="7">
        <f t="shared" si="2"/>
        <v>0</v>
      </c>
    </row>
    <row r="79" spans="1:19" ht="12.75">
      <c r="A79" s="5">
        <v>422</v>
      </c>
      <c r="B79" s="8" t="s">
        <v>64</v>
      </c>
      <c r="C79" s="9">
        <v>7620</v>
      </c>
      <c r="D79" s="9">
        <v>184.32</v>
      </c>
      <c r="E79" s="9">
        <v>0</v>
      </c>
      <c r="F79" s="9">
        <v>0</v>
      </c>
      <c r="G79" s="9">
        <v>0</v>
      </c>
      <c r="H79" s="9">
        <v>0</v>
      </c>
      <c r="I79" s="29">
        <v>184.32</v>
      </c>
      <c r="J79" s="29">
        <v>184.32</v>
      </c>
      <c r="K79" s="9">
        <v>0</v>
      </c>
      <c r="L79" s="9">
        <v>0</v>
      </c>
      <c r="M79" s="9">
        <v>0</v>
      </c>
      <c r="N79" s="9">
        <v>0</v>
      </c>
      <c r="O79" s="9"/>
      <c r="P79" s="9"/>
      <c r="Q79" s="7">
        <f t="shared" si="6"/>
        <v>184.32</v>
      </c>
      <c r="R79" s="7">
        <f t="shared" si="6"/>
        <v>184.32</v>
      </c>
      <c r="S79" s="7">
        <f t="shared" si="2"/>
        <v>0</v>
      </c>
    </row>
    <row r="80" spans="1:19" ht="12.75">
      <c r="A80" s="21">
        <v>15</v>
      </c>
      <c r="B80" s="6" t="s">
        <v>8</v>
      </c>
      <c r="C80" s="7">
        <f>SUM(C81:C84)</f>
        <v>101368340.53999999</v>
      </c>
      <c r="D80" s="7">
        <f>SUM(D81:D84)</f>
        <v>121836712.36</v>
      </c>
      <c r="E80" s="7">
        <f aca="true" t="shared" si="14" ref="E80:P80">SUM(E81:E84)</f>
        <v>35901110.78</v>
      </c>
      <c r="F80" s="7">
        <f t="shared" si="14"/>
        <v>13645802.68</v>
      </c>
      <c r="G80" s="7">
        <f t="shared" si="14"/>
        <v>22536330.69</v>
      </c>
      <c r="H80" s="7">
        <f t="shared" si="14"/>
        <v>18488473.4</v>
      </c>
      <c r="I80" s="7">
        <f t="shared" si="14"/>
        <v>13273202.76</v>
      </c>
      <c r="J80" s="7">
        <f t="shared" si="14"/>
        <v>15543660.98</v>
      </c>
      <c r="K80" s="7">
        <f t="shared" si="14"/>
        <v>15690889.829999998</v>
      </c>
      <c r="L80" s="7">
        <f t="shared" si="14"/>
        <v>24710664.79</v>
      </c>
      <c r="M80" s="7">
        <f t="shared" si="14"/>
        <v>15701643.91</v>
      </c>
      <c r="N80" s="7">
        <f t="shared" si="14"/>
        <v>26824917.89</v>
      </c>
      <c r="O80" s="7">
        <f t="shared" si="14"/>
        <v>0</v>
      </c>
      <c r="P80" s="7">
        <f t="shared" si="14"/>
        <v>0</v>
      </c>
      <c r="Q80" s="7">
        <f t="shared" si="6"/>
        <v>103103177.97</v>
      </c>
      <c r="R80" s="7">
        <f t="shared" si="6"/>
        <v>99213519.74</v>
      </c>
      <c r="S80" s="7">
        <f t="shared" si="2"/>
        <v>18733534.39</v>
      </c>
    </row>
    <row r="81" spans="1:19" ht="12.75">
      <c r="A81" s="5">
        <v>122</v>
      </c>
      <c r="B81" s="8" t="s">
        <v>6</v>
      </c>
      <c r="C81" s="24">
        <v>5985632.71</v>
      </c>
      <c r="D81" s="24">
        <v>4788683.99</v>
      </c>
      <c r="E81" s="24">
        <v>684227.66</v>
      </c>
      <c r="F81" s="24">
        <v>597592.09</v>
      </c>
      <c r="G81" s="24">
        <v>738138.96</v>
      </c>
      <c r="H81" s="24">
        <v>736935.7</v>
      </c>
      <c r="I81" s="29">
        <v>964174.98</v>
      </c>
      <c r="J81" s="29">
        <v>953857.07</v>
      </c>
      <c r="K81" s="24">
        <v>712341.08</v>
      </c>
      <c r="L81" s="24">
        <v>733309.61</v>
      </c>
      <c r="M81" s="24">
        <v>760282.23</v>
      </c>
      <c r="N81" s="24">
        <v>803460.29</v>
      </c>
      <c r="O81" s="24"/>
      <c r="P81" s="24"/>
      <c r="Q81" s="7">
        <f t="shared" si="6"/>
        <v>3859164.91</v>
      </c>
      <c r="R81" s="7">
        <f t="shared" si="6"/>
        <v>3825154.76</v>
      </c>
      <c r="S81" s="7">
        <f t="shared" si="2"/>
        <v>929519.0800000001</v>
      </c>
    </row>
    <row r="82" spans="1:19" ht="12.75">
      <c r="A82" s="5">
        <v>451</v>
      </c>
      <c r="B82" s="8" t="s">
        <v>65</v>
      </c>
      <c r="C82" s="9">
        <v>39501520.75</v>
      </c>
      <c r="D82" s="9">
        <v>40400395.88</v>
      </c>
      <c r="E82" s="9">
        <v>3006386.03</v>
      </c>
      <c r="F82" s="9">
        <v>2226665.26</v>
      </c>
      <c r="G82" s="9">
        <v>12799285.55</v>
      </c>
      <c r="H82" s="9">
        <v>3867846.12</v>
      </c>
      <c r="I82" s="29">
        <v>6047799.63</v>
      </c>
      <c r="J82" s="29">
        <v>3846133.72</v>
      </c>
      <c r="K82" s="9">
        <v>3538377.32</v>
      </c>
      <c r="L82" s="9">
        <v>6017197.05</v>
      </c>
      <c r="M82" s="9">
        <v>-1004222.56</v>
      </c>
      <c r="N82" s="9">
        <v>6425196.75</v>
      </c>
      <c r="O82" s="9"/>
      <c r="P82" s="9"/>
      <c r="Q82" s="7">
        <f t="shared" si="6"/>
        <v>24387625.970000003</v>
      </c>
      <c r="R82" s="7">
        <f t="shared" si="6"/>
        <v>22383038.9</v>
      </c>
      <c r="S82" s="7">
        <f t="shared" si="2"/>
        <v>16012769.91</v>
      </c>
    </row>
    <row r="83" spans="1:19" ht="12.75">
      <c r="A83" s="5">
        <v>452</v>
      </c>
      <c r="B83" s="8" t="s">
        <v>66</v>
      </c>
      <c r="C83" s="9">
        <v>55781187.08</v>
      </c>
      <c r="D83" s="9">
        <v>76647632.49</v>
      </c>
      <c r="E83" s="9">
        <v>32210497.09</v>
      </c>
      <c r="F83" s="9">
        <v>10821545.33</v>
      </c>
      <c r="G83" s="9">
        <v>8998906.18</v>
      </c>
      <c r="H83" s="9">
        <v>13883691.58</v>
      </c>
      <c r="I83" s="29">
        <v>6261228.15</v>
      </c>
      <c r="J83" s="29">
        <v>10743670.19</v>
      </c>
      <c r="K83" s="9">
        <v>11440171.43</v>
      </c>
      <c r="L83" s="9">
        <v>17960158.13</v>
      </c>
      <c r="M83" s="9">
        <v>15945584.24</v>
      </c>
      <c r="N83" s="9">
        <v>19596260.85</v>
      </c>
      <c r="O83" s="9"/>
      <c r="P83" s="9"/>
      <c r="Q83" s="7">
        <f t="shared" si="6"/>
        <v>74856387.08999999</v>
      </c>
      <c r="R83" s="7">
        <f t="shared" si="6"/>
        <v>73005326.08000001</v>
      </c>
      <c r="S83" s="7">
        <f t="shared" si="2"/>
        <v>1791245.400000006</v>
      </c>
    </row>
    <row r="84" spans="1:19" ht="12.75">
      <c r="A84" s="5">
        <v>453</v>
      </c>
      <c r="B84" s="8" t="s">
        <v>67</v>
      </c>
      <c r="C84" s="9">
        <v>100000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29">
        <v>0</v>
      </c>
      <c r="J84" s="29">
        <v>0</v>
      </c>
      <c r="K84" s="9">
        <v>0</v>
      </c>
      <c r="L84" s="9">
        <v>0</v>
      </c>
      <c r="M84" s="9">
        <v>0</v>
      </c>
      <c r="N84" s="9">
        <v>0</v>
      </c>
      <c r="O84" s="9"/>
      <c r="P84" s="9"/>
      <c r="Q84" s="7">
        <f t="shared" si="6"/>
        <v>0</v>
      </c>
      <c r="R84" s="7">
        <f t="shared" si="6"/>
        <v>0</v>
      </c>
      <c r="S84" s="7">
        <f aca="true" t="shared" si="15" ref="S84:S130">D84-Q84</f>
        <v>0</v>
      </c>
    </row>
    <row r="85" spans="1:19" ht="12.75">
      <c r="A85" s="21">
        <v>16</v>
      </c>
      <c r="B85" s="6" t="s">
        <v>16</v>
      </c>
      <c r="C85" s="7">
        <f>SUM(C86:C89)</f>
        <v>11033060.42</v>
      </c>
      <c r="D85" s="7">
        <f>SUM(D86:D89)</f>
        <v>10468113.43</v>
      </c>
      <c r="E85" s="7">
        <f aca="true" t="shared" si="16" ref="E85:P85">SUM(E86:E89)</f>
        <v>88815.11</v>
      </c>
      <c r="F85" s="7">
        <f t="shared" si="16"/>
        <v>88217.09</v>
      </c>
      <c r="G85" s="7">
        <f t="shared" si="16"/>
        <v>3259326.96</v>
      </c>
      <c r="H85" s="7">
        <f t="shared" si="16"/>
        <v>783410.66</v>
      </c>
      <c r="I85" s="7">
        <f t="shared" si="16"/>
        <v>208141.6</v>
      </c>
      <c r="J85" s="7">
        <f t="shared" si="16"/>
        <v>79100.34</v>
      </c>
      <c r="K85" s="7">
        <f t="shared" si="16"/>
        <v>927031.83</v>
      </c>
      <c r="L85" s="7">
        <f t="shared" si="16"/>
        <v>456929.05</v>
      </c>
      <c r="M85" s="7">
        <f t="shared" si="16"/>
        <v>499378.63</v>
      </c>
      <c r="N85" s="7">
        <f t="shared" si="16"/>
        <v>528471.8099999999</v>
      </c>
      <c r="O85" s="7">
        <f t="shared" si="16"/>
        <v>0</v>
      </c>
      <c r="P85" s="7">
        <f t="shared" si="16"/>
        <v>0</v>
      </c>
      <c r="Q85" s="7">
        <f t="shared" si="6"/>
        <v>4982694.13</v>
      </c>
      <c r="R85" s="7">
        <f t="shared" si="6"/>
        <v>1936128.9499999997</v>
      </c>
      <c r="S85" s="7">
        <f t="shared" si="15"/>
        <v>5485419.3</v>
      </c>
    </row>
    <row r="86" spans="1:19" ht="12.75">
      <c r="A86" s="5">
        <v>122</v>
      </c>
      <c r="B86" s="8" t="s">
        <v>6</v>
      </c>
      <c r="C86" s="24">
        <v>649620</v>
      </c>
      <c r="D86" s="24">
        <v>157546.34</v>
      </c>
      <c r="E86" s="24">
        <v>350</v>
      </c>
      <c r="F86" s="24">
        <v>350</v>
      </c>
      <c r="G86" s="24">
        <v>1465.89</v>
      </c>
      <c r="H86" s="24">
        <v>667.15</v>
      </c>
      <c r="I86" s="29">
        <v>1386</v>
      </c>
      <c r="J86" s="29">
        <v>2154.74</v>
      </c>
      <c r="K86" s="24">
        <v>4000.88</v>
      </c>
      <c r="L86" s="24">
        <v>2487.5</v>
      </c>
      <c r="M86" s="24">
        <v>52343.36</v>
      </c>
      <c r="N86" s="24">
        <v>2676.74</v>
      </c>
      <c r="O86" s="24"/>
      <c r="P86" s="24"/>
      <c r="Q86" s="7">
        <f t="shared" si="6"/>
        <v>59546.130000000005</v>
      </c>
      <c r="R86" s="7">
        <f t="shared" si="6"/>
        <v>8336.13</v>
      </c>
      <c r="S86" s="7">
        <f t="shared" si="15"/>
        <v>98000.20999999999</v>
      </c>
    </row>
    <row r="87" spans="1:19" ht="12.75">
      <c r="A87" s="5">
        <v>244</v>
      </c>
      <c r="B87" s="8" t="s">
        <v>17</v>
      </c>
      <c r="C87" s="24">
        <v>550000</v>
      </c>
      <c r="D87" s="24">
        <v>175200</v>
      </c>
      <c r="E87" s="24">
        <v>0</v>
      </c>
      <c r="F87" s="24">
        <v>0</v>
      </c>
      <c r="G87" s="24">
        <v>44644.5</v>
      </c>
      <c r="H87" s="24">
        <v>0</v>
      </c>
      <c r="I87" s="29">
        <v>56102</v>
      </c>
      <c r="J87" s="29">
        <v>22292</v>
      </c>
      <c r="K87" s="24">
        <v>0</v>
      </c>
      <c r="L87" s="24">
        <v>12891.5</v>
      </c>
      <c r="M87" s="24">
        <v>9032</v>
      </c>
      <c r="N87" s="24">
        <v>48015</v>
      </c>
      <c r="O87" s="24"/>
      <c r="P87" s="24"/>
      <c r="Q87" s="7">
        <f t="shared" si="6"/>
        <v>109778.5</v>
      </c>
      <c r="R87" s="7">
        <f t="shared" si="6"/>
        <v>83198.5</v>
      </c>
      <c r="S87" s="7">
        <f t="shared" si="15"/>
        <v>65421.5</v>
      </c>
    </row>
    <row r="88" spans="1:19" ht="12.75">
      <c r="A88" s="5">
        <v>451</v>
      </c>
      <c r="B88" s="8" t="s">
        <v>65</v>
      </c>
      <c r="C88" s="9">
        <v>8300000</v>
      </c>
      <c r="D88" s="9">
        <v>8899599.18</v>
      </c>
      <c r="E88" s="9">
        <v>0</v>
      </c>
      <c r="F88" s="9">
        <v>0</v>
      </c>
      <c r="G88" s="9">
        <v>3150000</v>
      </c>
      <c r="H88" s="9">
        <v>718928.92</v>
      </c>
      <c r="I88" s="29">
        <v>0</v>
      </c>
      <c r="J88" s="29">
        <v>0</v>
      </c>
      <c r="K88" s="9">
        <v>888000</v>
      </c>
      <c r="L88" s="9">
        <v>384217.85</v>
      </c>
      <c r="M88" s="9">
        <v>448434.94</v>
      </c>
      <c r="N88" s="9">
        <v>453256.49</v>
      </c>
      <c r="O88" s="9">
        <v>0</v>
      </c>
      <c r="P88" s="9">
        <v>0</v>
      </c>
      <c r="Q88" s="7">
        <f t="shared" si="6"/>
        <v>4486434.94</v>
      </c>
      <c r="R88" s="7">
        <f t="shared" si="6"/>
        <v>1556403.26</v>
      </c>
      <c r="S88" s="7">
        <f t="shared" si="15"/>
        <v>4413164.239999999</v>
      </c>
    </row>
    <row r="89" spans="1:19" ht="12.75">
      <c r="A89" s="5">
        <v>482</v>
      </c>
      <c r="B89" s="8" t="s">
        <v>68</v>
      </c>
      <c r="C89" s="9">
        <v>1533440.42</v>
      </c>
      <c r="D89" s="9">
        <v>1235767.91</v>
      </c>
      <c r="E89" s="9">
        <v>88465.11</v>
      </c>
      <c r="F89" s="9">
        <v>87867.09</v>
      </c>
      <c r="G89" s="9">
        <v>63216.57</v>
      </c>
      <c r="H89" s="9">
        <v>63814.59</v>
      </c>
      <c r="I89" s="29">
        <v>150653.6</v>
      </c>
      <c r="J89" s="29">
        <v>54653.6</v>
      </c>
      <c r="K89" s="9">
        <v>35030.95</v>
      </c>
      <c r="L89" s="9">
        <v>57332.2</v>
      </c>
      <c r="M89" s="9">
        <v>-10431.67</v>
      </c>
      <c r="N89" s="9">
        <v>24523.58</v>
      </c>
      <c r="O89" s="9"/>
      <c r="P89" s="9"/>
      <c r="Q89" s="7">
        <f t="shared" si="6"/>
        <v>326934.56000000006</v>
      </c>
      <c r="R89" s="7">
        <f t="shared" si="6"/>
        <v>288191.06</v>
      </c>
      <c r="S89" s="7">
        <f t="shared" si="15"/>
        <v>908833.3499999999</v>
      </c>
    </row>
    <row r="90" spans="1:19" ht="12.75">
      <c r="A90" s="21">
        <v>17</v>
      </c>
      <c r="B90" s="6" t="s">
        <v>14</v>
      </c>
      <c r="C90" s="7">
        <f aca="true" t="shared" si="17" ref="C90:P90">SUM(C91:C91)</f>
        <v>153951630</v>
      </c>
      <c r="D90" s="7">
        <f t="shared" si="17"/>
        <v>153551630</v>
      </c>
      <c r="E90" s="7">
        <f t="shared" si="17"/>
        <v>58704986.8</v>
      </c>
      <c r="F90" s="7">
        <f t="shared" si="17"/>
        <v>10326550.27</v>
      </c>
      <c r="G90" s="7">
        <f t="shared" si="17"/>
        <v>2998022.65</v>
      </c>
      <c r="H90" s="7">
        <f t="shared" si="17"/>
        <v>13780760.88</v>
      </c>
      <c r="I90" s="7">
        <f t="shared" si="17"/>
        <v>35964194.7</v>
      </c>
      <c r="J90" s="7">
        <f t="shared" si="17"/>
        <v>17556540.79</v>
      </c>
      <c r="K90" s="7">
        <f t="shared" si="17"/>
        <v>10593068.67</v>
      </c>
      <c r="L90" s="7">
        <f t="shared" si="17"/>
        <v>25420815.97</v>
      </c>
      <c r="M90" s="7">
        <f t="shared" si="17"/>
        <v>10614574.01</v>
      </c>
      <c r="N90" s="7">
        <f t="shared" si="17"/>
        <v>25018190.44</v>
      </c>
      <c r="O90" s="7">
        <f t="shared" si="17"/>
        <v>0</v>
      </c>
      <c r="P90" s="7">
        <f t="shared" si="17"/>
        <v>0</v>
      </c>
      <c r="Q90" s="7">
        <f t="shared" si="6"/>
        <v>118874846.83000001</v>
      </c>
      <c r="R90" s="7">
        <f t="shared" si="6"/>
        <v>92102858.35</v>
      </c>
      <c r="S90" s="7">
        <f t="shared" si="15"/>
        <v>34676783.16999999</v>
      </c>
    </row>
    <row r="91" spans="1:19" ht="12.75">
      <c r="A91" s="5">
        <v>512</v>
      </c>
      <c r="B91" s="8" t="s">
        <v>69</v>
      </c>
      <c r="C91" s="9">
        <v>153951630</v>
      </c>
      <c r="D91" s="9">
        <v>153551630</v>
      </c>
      <c r="E91" s="9">
        <v>58704986.8</v>
      </c>
      <c r="F91" s="9">
        <f>10326766.27-216</f>
        <v>10326550.27</v>
      </c>
      <c r="G91" s="9">
        <v>2998022.65</v>
      </c>
      <c r="H91" s="9">
        <v>13780760.88</v>
      </c>
      <c r="I91" s="9">
        <v>35964194.7</v>
      </c>
      <c r="J91" s="9">
        <v>17556540.79</v>
      </c>
      <c r="K91" s="9">
        <v>10593068.67</v>
      </c>
      <c r="L91" s="9">
        <v>25420815.97</v>
      </c>
      <c r="M91" s="9">
        <v>10614574.01</v>
      </c>
      <c r="N91" s="9">
        <v>25018190.44</v>
      </c>
      <c r="O91" s="9"/>
      <c r="P91" s="9"/>
      <c r="Q91" s="7">
        <f t="shared" si="6"/>
        <v>118874846.83000001</v>
      </c>
      <c r="R91" s="7">
        <f t="shared" si="6"/>
        <v>92102858.35</v>
      </c>
      <c r="S91" s="7">
        <f t="shared" si="15"/>
        <v>34676783.16999999</v>
      </c>
    </row>
    <row r="92" spans="1:19" ht="12.75">
      <c r="A92" s="21">
        <v>18</v>
      </c>
      <c r="B92" s="6" t="s">
        <v>70</v>
      </c>
      <c r="C92" s="7">
        <f>SUM(C93:C95)</f>
        <v>8794652.73</v>
      </c>
      <c r="D92" s="7">
        <f>SUM(D93:D95)</f>
        <v>7028707.04</v>
      </c>
      <c r="E92" s="7">
        <f aca="true" t="shared" si="18" ref="E92:P92">SUM(E93:E95)</f>
        <v>1143290.44</v>
      </c>
      <c r="F92" s="7">
        <f t="shared" si="18"/>
        <v>1113456.62</v>
      </c>
      <c r="G92" s="7">
        <f t="shared" si="18"/>
        <v>1186659.56</v>
      </c>
      <c r="H92" s="7">
        <f t="shared" si="18"/>
        <v>1216493.38</v>
      </c>
      <c r="I92" s="7">
        <f t="shared" si="18"/>
        <v>1490285.66</v>
      </c>
      <c r="J92" s="7">
        <f t="shared" si="18"/>
        <v>1473602.66</v>
      </c>
      <c r="K92" s="7">
        <f t="shared" si="18"/>
        <v>1079713.28</v>
      </c>
      <c r="L92" s="7">
        <f t="shared" si="18"/>
        <v>1091890.68</v>
      </c>
      <c r="M92" s="7">
        <f t="shared" si="18"/>
        <v>1112268.15</v>
      </c>
      <c r="N92" s="7">
        <f t="shared" si="18"/>
        <v>1100268.15</v>
      </c>
      <c r="O92" s="7">
        <f t="shared" si="18"/>
        <v>0</v>
      </c>
      <c r="P92" s="7">
        <f t="shared" si="18"/>
        <v>0</v>
      </c>
      <c r="Q92" s="7">
        <f t="shared" si="6"/>
        <v>6012217.09</v>
      </c>
      <c r="R92" s="7">
        <f t="shared" si="6"/>
        <v>5995711.49</v>
      </c>
      <c r="S92" s="7">
        <f t="shared" si="15"/>
        <v>1016489.9500000002</v>
      </c>
    </row>
    <row r="93" spans="1:19" ht="12.75">
      <c r="A93" s="5">
        <v>122</v>
      </c>
      <c r="B93" s="8" t="s">
        <v>6</v>
      </c>
      <c r="C93" s="24">
        <v>8126652.73</v>
      </c>
      <c r="D93" s="24">
        <v>6766152.73</v>
      </c>
      <c r="E93" s="24">
        <v>1139053.44</v>
      </c>
      <c r="F93" s="24">
        <v>1113456.62</v>
      </c>
      <c r="G93" s="24">
        <v>1183279.56</v>
      </c>
      <c r="H93" s="24">
        <v>1208876.38</v>
      </c>
      <c r="I93" s="29">
        <v>1403429.28</v>
      </c>
      <c r="J93" s="29">
        <v>1403429.28</v>
      </c>
      <c r="K93" s="24">
        <v>1072539.68</v>
      </c>
      <c r="L93" s="24">
        <v>1072539.68</v>
      </c>
      <c r="M93" s="24">
        <v>1100268.15</v>
      </c>
      <c r="N93" s="24">
        <v>1100268.15</v>
      </c>
      <c r="O93" s="24"/>
      <c r="P93" s="24"/>
      <c r="Q93" s="7">
        <f t="shared" si="6"/>
        <v>5898570.109999999</v>
      </c>
      <c r="R93" s="7">
        <f t="shared" si="6"/>
        <v>5898570.109999999</v>
      </c>
      <c r="S93" s="7">
        <f t="shared" si="15"/>
        <v>867582.620000001</v>
      </c>
    </row>
    <row r="94" spans="1:19" ht="12.75">
      <c r="A94" s="5">
        <v>541</v>
      </c>
      <c r="B94" s="8" t="s">
        <v>71</v>
      </c>
      <c r="C94" s="9">
        <v>277000</v>
      </c>
      <c r="D94" s="9">
        <v>194075.6</v>
      </c>
      <c r="E94" s="9">
        <v>857</v>
      </c>
      <c r="F94" s="9">
        <v>0</v>
      </c>
      <c r="G94" s="9">
        <v>0</v>
      </c>
      <c r="H94" s="9">
        <v>857</v>
      </c>
      <c r="I94" s="29">
        <v>77123</v>
      </c>
      <c r="J94" s="29">
        <v>67040</v>
      </c>
      <c r="K94" s="9">
        <v>6095.6</v>
      </c>
      <c r="L94" s="9">
        <v>11673</v>
      </c>
      <c r="M94" s="9">
        <v>0</v>
      </c>
      <c r="N94" s="9">
        <v>0</v>
      </c>
      <c r="O94" s="9"/>
      <c r="P94" s="9"/>
      <c r="Q94" s="7">
        <f t="shared" si="6"/>
        <v>84075.6</v>
      </c>
      <c r="R94" s="7">
        <f t="shared" si="6"/>
        <v>79570</v>
      </c>
      <c r="S94" s="7">
        <f t="shared" si="15"/>
        <v>110000</v>
      </c>
    </row>
    <row r="95" spans="1:19" ht="12.75">
      <c r="A95" s="5">
        <v>542</v>
      </c>
      <c r="B95" s="8" t="s">
        <v>72</v>
      </c>
      <c r="C95" s="9">
        <v>391000</v>
      </c>
      <c r="D95" s="9">
        <v>68478.71</v>
      </c>
      <c r="E95" s="9">
        <v>3380</v>
      </c>
      <c r="F95" s="9">
        <v>0</v>
      </c>
      <c r="G95" s="9">
        <v>3380</v>
      </c>
      <c r="H95" s="9">
        <v>6760</v>
      </c>
      <c r="I95" s="29">
        <v>9733.38</v>
      </c>
      <c r="J95" s="29">
        <v>3133.38</v>
      </c>
      <c r="K95" s="9">
        <v>1078</v>
      </c>
      <c r="L95" s="9">
        <v>7678</v>
      </c>
      <c r="M95" s="9">
        <v>12000</v>
      </c>
      <c r="N95" s="9">
        <v>0</v>
      </c>
      <c r="O95" s="9"/>
      <c r="P95" s="9"/>
      <c r="Q95" s="7">
        <f t="shared" si="6"/>
        <v>29571.379999999997</v>
      </c>
      <c r="R95" s="7">
        <f t="shared" si="6"/>
        <v>17571.38</v>
      </c>
      <c r="S95" s="7">
        <f t="shared" si="15"/>
        <v>38907.33000000001</v>
      </c>
    </row>
    <row r="96" spans="1:19" ht="12.75">
      <c r="A96" s="22">
        <v>22</v>
      </c>
      <c r="B96" s="13" t="s">
        <v>75</v>
      </c>
      <c r="C96" s="7">
        <f>SUM(C97:C98)</f>
        <v>3547856.1</v>
      </c>
      <c r="D96" s="7">
        <f>SUM(D97:D98)</f>
        <v>3725466.8200000003</v>
      </c>
      <c r="E96" s="7">
        <f aca="true" t="shared" si="19" ref="E96:P96">SUM(E97:E98)</f>
        <v>581409.27</v>
      </c>
      <c r="F96" s="7">
        <f t="shared" si="19"/>
        <v>519022.86</v>
      </c>
      <c r="G96" s="7">
        <f t="shared" si="19"/>
        <v>605320.15</v>
      </c>
      <c r="H96" s="7">
        <f t="shared" si="19"/>
        <v>611473.23</v>
      </c>
      <c r="I96" s="7">
        <f t="shared" si="19"/>
        <v>675014.6900000001</v>
      </c>
      <c r="J96" s="7">
        <f t="shared" si="19"/>
        <v>607719.39</v>
      </c>
      <c r="K96" s="7">
        <f t="shared" si="19"/>
        <v>612507.64</v>
      </c>
      <c r="L96" s="7">
        <f t="shared" si="19"/>
        <v>653254.8300000001</v>
      </c>
      <c r="M96" s="7">
        <f t="shared" si="19"/>
        <v>708664.01</v>
      </c>
      <c r="N96" s="7">
        <f t="shared" si="19"/>
        <v>736064.01</v>
      </c>
      <c r="O96" s="7">
        <f t="shared" si="19"/>
        <v>0</v>
      </c>
      <c r="P96" s="7">
        <f t="shared" si="19"/>
        <v>0</v>
      </c>
      <c r="Q96" s="7">
        <f t="shared" si="6"/>
        <v>3182915.76</v>
      </c>
      <c r="R96" s="7">
        <f t="shared" si="6"/>
        <v>3127534.3200000003</v>
      </c>
      <c r="S96" s="7">
        <f t="shared" si="15"/>
        <v>542551.0600000005</v>
      </c>
    </row>
    <row r="97" spans="1:19" ht="12.75">
      <c r="A97" s="5">
        <v>122</v>
      </c>
      <c r="B97" s="8" t="s">
        <v>6</v>
      </c>
      <c r="C97" s="24">
        <v>3012740.71</v>
      </c>
      <c r="D97" s="24">
        <v>3193551.43</v>
      </c>
      <c r="E97" s="24">
        <v>517612.35</v>
      </c>
      <c r="F97" s="24">
        <v>456014.04</v>
      </c>
      <c r="G97" s="24">
        <v>530626.66</v>
      </c>
      <c r="H97" s="24">
        <v>535991.64</v>
      </c>
      <c r="I97" s="29">
        <v>604231.68</v>
      </c>
      <c r="J97" s="29">
        <v>536936.38</v>
      </c>
      <c r="K97" s="24">
        <v>504357.99</v>
      </c>
      <c r="L97" s="24">
        <v>545105.18</v>
      </c>
      <c r="M97" s="24">
        <v>568444.86</v>
      </c>
      <c r="N97" s="24">
        <v>601244.86</v>
      </c>
      <c r="O97" s="24"/>
      <c r="P97" s="24"/>
      <c r="Q97" s="7">
        <f t="shared" si="6"/>
        <v>2725273.5399999996</v>
      </c>
      <c r="R97" s="7">
        <f t="shared" si="6"/>
        <v>2675292.1</v>
      </c>
      <c r="S97" s="7">
        <f t="shared" si="15"/>
        <v>468277.8900000006</v>
      </c>
    </row>
    <row r="98" spans="1:19" ht="12.75">
      <c r="A98" s="11">
        <v>661</v>
      </c>
      <c r="B98" s="12" t="s">
        <v>20</v>
      </c>
      <c r="C98" s="9">
        <v>535115.39</v>
      </c>
      <c r="D98" s="9">
        <v>531915.39</v>
      </c>
      <c r="E98" s="9">
        <v>63796.92</v>
      </c>
      <c r="F98" s="9">
        <v>63008.82</v>
      </c>
      <c r="G98" s="9">
        <v>74693.49</v>
      </c>
      <c r="H98" s="9">
        <v>75481.59</v>
      </c>
      <c r="I98" s="29">
        <v>70783.01</v>
      </c>
      <c r="J98" s="29">
        <v>70783.01</v>
      </c>
      <c r="K98" s="9">
        <v>108149.65</v>
      </c>
      <c r="L98" s="9">
        <v>108149.65</v>
      </c>
      <c r="M98" s="9">
        <v>140219.15</v>
      </c>
      <c r="N98" s="9">
        <v>134819.15</v>
      </c>
      <c r="O98" s="9"/>
      <c r="P98" s="9"/>
      <c r="Q98" s="7">
        <f t="shared" si="6"/>
        <v>457642.22</v>
      </c>
      <c r="R98" s="7">
        <f t="shared" si="6"/>
        <v>452242.22</v>
      </c>
      <c r="S98" s="7">
        <f t="shared" si="15"/>
        <v>74273.17000000004</v>
      </c>
    </row>
    <row r="99" spans="1:19" ht="12.75">
      <c r="A99" s="22">
        <v>23</v>
      </c>
      <c r="B99" s="13" t="s">
        <v>76</v>
      </c>
      <c r="C99" s="7">
        <f>SUM(C100:C111)</f>
        <v>7972853.85</v>
      </c>
      <c r="D99" s="7">
        <f>SUM(D100:D111)</f>
        <v>5796315.109999999</v>
      </c>
      <c r="E99" s="7">
        <f aca="true" t="shared" si="20" ref="E99:P99">SUM(E100:E111)</f>
        <v>935772.81</v>
      </c>
      <c r="F99" s="7">
        <f t="shared" si="20"/>
        <v>835654.06</v>
      </c>
      <c r="G99" s="7">
        <f t="shared" si="20"/>
        <v>919151.61</v>
      </c>
      <c r="H99" s="7">
        <f t="shared" si="20"/>
        <v>903118.76</v>
      </c>
      <c r="I99" s="7">
        <f t="shared" si="20"/>
        <v>1125714.12</v>
      </c>
      <c r="J99" s="7">
        <f t="shared" si="20"/>
        <v>1089430.05</v>
      </c>
      <c r="K99" s="7">
        <f t="shared" si="20"/>
        <v>883909.89</v>
      </c>
      <c r="L99" s="7">
        <f t="shared" si="20"/>
        <v>917214.27</v>
      </c>
      <c r="M99" s="7">
        <f t="shared" si="20"/>
        <v>1148608.9</v>
      </c>
      <c r="N99" s="7">
        <f t="shared" si="20"/>
        <v>1119575.47</v>
      </c>
      <c r="O99" s="7">
        <f t="shared" si="20"/>
        <v>0</v>
      </c>
      <c r="P99" s="7">
        <f t="shared" si="20"/>
        <v>0</v>
      </c>
      <c r="Q99" s="7">
        <f aca="true" t="shared" si="21" ref="Q99:R130">E99+G99+I99+K99+M99+O99</f>
        <v>5013157.33</v>
      </c>
      <c r="R99" s="7">
        <f t="shared" si="21"/>
        <v>4864992.61</v>
      </c>
      <c r="S99" s="7">
        <f t="shared" si="15"/>
        <v>783157.7799999993</v>
      </c>
    </row>
    <row r="100" spans="1:19" ht="12.75">
      <c r="A100" s="5">
        <v>122</v>
      </c>
      <c r="B100" s="8" t="s">
        <v>6</v>
      </c>
      <c r="C100" s="24">
        <v>527602</v>
      </c>
      <c r="D100" s="24">
        <v>216250.26</v>
      </c>
      <c r="E100" s="24">
        <v>10058.61</v>
      </c>
      <c r="F100" s="24">
        <v>10058.61</v>
      </c>
      <c r="G100" s="24">
        <v>22358.24</v>
      </c>
      <c r="H100" s="24">
        <v>17586.24</v>
      </c>
      <c r="I100" s="29">
        <v>40029.7</v>
      </c>
      <c r="J100" s="29">
        <v>24632.09</v>
      </c>
      <c r="K100" s="24">
        <v>29467.94</v>
      </c>
      <c r="L100" s="24">
        <v>25851.94</v>
      </c>
      <c r="M100" s="24">
        <v>34635.29</v>
      </c>
      <c r="N100" s="24">
        <v>40029.9</v>
      </c>
      <c r="O100" s="24"/>
      <c r="P100" s="24"/>
      <c r="Q100" s="7">
        <f t="shared" si="21"/>
        <v>136549.78</v>
      </c>
      <c r="R100" s="7">
        <f t="shared" si="21"/>
        <v>118158.78</v>
      </c>
      <c r="S100" s="7">
        <f t="shared" si="15"/>
        <v>79700.48000000001</v>
      </c>
    </row>
    <row r="101" spans="1:19" ht="12.75">
      <c r="A101" s="5">
        <v>125</v>
      </c>
      <c r="B101" s="8" t="s">
        <v>35</v>
      </c>
      <c r="C101" s="24">
        <v>213450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9">
        <v>0</v>
      </c>
      <c r="J101" s="29">
        <v>0</v>
      </c>
      <c r="K101" s="24">
        <v>0</v>
      </c>
      <c r="L101" s="24">
        <v>0</v>
      </c>
      <c r="M101" s="24">
        <v>0</v>
      </c>
      <c r="N101" s="24">
        <v>0</v>
      </c>
      <c r="O101" s="24"/>
      <c r="P101" s="24"/>
      <c r="Q101" s="7">
        <f t="shared" si="21"/>
        <v>0</v>
      </c>
      <c r="R101" s="7">
        <f t="shared" si="21"/>
        <v>0</v>
      </c>
      <c r="S101" s="7">
        <f t="shared" si="15"/>
        <v>0</v>
      </c>
    </row>
    <row r="102" spans="1:19" ht="12.75">
      <c r="A102" s="5">
        <v>126</v>
      </c>
      <c r="B102" s="8" t="s">
        <v>36</v>
      </c>
      <c r="C102" s="24">
        <v>255000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9">
        <v>0</v>
      </c>
      <c r="J102" s="29">
        <v>0</v>
      </c>
      <c r="K102" s="24">
        <v>0</v>
      </c>
      <c r="L102" s="24">
        <v>0</v>
      </c>
      <c r="M102" s="24">
        <v>0</v>
      </c>
      <c r="N102" s="24">
        <v>0</v>
      </c>
      <c r="O102" s="24"/>
      <c r="P102" s="24"/>
      <c r="Q102" s="7">
        <f t="shared" si="21"/>
        <v>0</v>
      </c>
      <c r="R102" s="7">
        <f t="shared" si="21"/>
        <v>0</v>
      </c>
      <c r="S102" s="7">
        <f t="shared" si="15"/>
        <v>0</v>
      </c>
    </row>
    <row r="103" spans="1:19" ht="12.75">
      <c r="A103" s="5">
        <v>128</v>
      </c>
      <c r="B103" s="8" t="s">
        <v>37</v>
      </c>
      <c r="C103" s="24">
        <v>10000</v>
      </c>
      <c r="D103" s="24"/>
      <c r="E103" s="24">
        <v>0</v>
      </c>
      <c r="F103" s="24">
        <v>0</v>
      </c>
      <c r="G103" s="24">
        <v>0</v>
      </c>
      <c r="H103" s="24">
        <v>0</v>
      </c>
      <c r="I103" s="29">
        <v>0</v>
      </c>
      <c r="J103" s="29">
        <v>0</v>
      </c>
      <c r="K103" s="24">
        <v>0</v>
      </c>
      <c r="L103" s="24">
        <v>0</v>
      </c>
      <c r="M103" s="24">
        <v>0</v>
      </c>
      <c r="N103" s="24">
        <v>0</v>
      </c>
      <c r="O103" s="24"/>
      <c r="P103" s="24"/>
      <c r="Q103" s="7">
        <f t="shared" si="21"/>
        <v>0</v>
      </c>
      <c r="R103" s="7">
        <f t="shared" si="21"/>
        <v>0</v>
      </c>
      <c r="S103" s="7">
        <f t="shared" si="15"/>
        <v>0</v>
      </c>
    </row>
    <row r="104" spans="1:19" ht="12.75">
      <c r="A104" s="5">
        <v>451</v>
      </c>
      <c r="B104" s="8" t="s">
        <v>65</v>
      </c>
      <c r="C104" s="24">
        <v>781000</v>
      </c>
      <c r="D104" s="24"/>
      <c r="E104" s="24">
        <v>0</v>
      </c>
      <c r="F104" s="24">
        <v>0</v>
      </c>
      <c r="G104" s="24">
        <v>0</v>
      </c>
      <c r="H104" s="24">
        <v>0</v>
      </c>
      <c r="I104" s="29">
        <v>0</v>
      </c>
      <c r="J104" s="29">
        <v>0</v>
      </c>
      <c r="K104" s="24">
        <v>0</v>
      </c>
      <c r="L104" s="24">
        <v>0</v>
      </c>
      <c r="M104" s="24">
        <v>0</v>
      </c>
      <c r="N104" s="24">
        <v>0</v>
      </c>
      <c r="O104" s="24"/>
      <c r="P104" s="24"/>
      <c r="Q104" s="7">
        <f t="shared" si="21"/>
        <v>0</v>
      </c>
      <c r="R104" s="7">
        <f t="shared" si="21"/>
        <v>0</v>
      </c>
      <c r="S104" s="7">
        <f t="shared" si="15"/>
        <v>0</v>
      </c>
    </row>
    <row r="105" spans="1:19" ht="12.75">
      <c r="A105" s="5">
        <v>541</v>
      </c>
      <c r="B105" s="8" t="s">
        <v>71</v>
      </c>
      <c r="C105" s="24">
        <v>27000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9">
        <v>0</v>
      </c>
      <c r="J105" s="29">
        <v>0</v>
      </c>
      <c r="K105" s="24">
        <v>0</v>
      </c>
      <c r="L105" s="24">
        <v>0</v>
      </c>
      <c r="M105" s="24">
        <v>0</v>
      </c>
      <c r="N105" s="24">
        <v>0</v>
      </c>
      <c r="O105" s="24"/>
      <c r="P105" s="24"/>
      <c r="Q105" s="7">
        <f t="shared" si="21"/>
        <v>0</v>
      </c>
      <c r="R105" s="7">
        <f t="shared" si="21"/>
        <v>0</v>
      </c>
      <c r="S105" s="7">
        <f t="shared" si="15"/>
        <v>0</v>
      </c>
    </row>
    <row r="106" spans="1:19" ht="12.75">
      <c r="A106" s="11">
        <v>601</v>
      </c>
      <c r="B106" s="12" t="s">
        <v>73</v>
      </c>
      <c r="C106" s="24">
        <v>54600</v>
      </c>
      <c r="D106" s="24">
        <v>31406.04</v>
      </c>
      <c r="E106" s="24">
        <v>0</v>
      </c>
      <c r="F106" s="24">
        <v>0</v>
      </c>
      <c r="G106" s="24">
        <v>0</v>
      </c>
      <c r="H106" s="24">
        <v>0</v>
      </c>
      <c r="I106" s="29">
        <v>8586.03</v>
      </c>
      <c r="J106" s="29">
        <v>786.03</v>
      </c>
      <c r="K106" s="24">
        <v>828</v>
      </c>
      <c r="L106" s="24">
        <v>828</v>
      </c>
      <c r="M106" s="24">
        <v>2805.16</v>
      </c>
      <c r="N106" s="24">
        <v>3595.08</v>
      </c>
      <c r="O106" s="24"/>
      <c r="P106" s="24"/>
      <c r="Q106" s="7">
        <f t="shared" si="21"/>
        <v>12219.19</v>
      </c>
      <c r="R106" s="7">
        <f t="shared" si="21"/>
        <v>5209.11</v>
      </c>
      <c r="S106" s="7">
        <f t="shared" si="15"/>
        <v>19186.85</v>
      </c>
    </row>
    <row r="107" spans="1:19" ht="12.75">
      <c r="A107" s="11">
        <v>605</v>
      </c>
      <c r="B107" s="12" t="s">
        <v>74</v>
      </c>
      <c r="C107" s="24">
        <v>2474454.45</v>
      </c>
      <c r="D107" s="24">
        <v>2633454.45</v>
      </c>
      <c r="E107" s="24">
        <v>438466.84</v>
      </c>
      <c r="F107" s="24">
        <v>435821.07</v>
      </c>
      <c r="G107" s="24">
        <v>452127.54</v>
      </c>
      <c r="H107" s="24">
        <v>454773.31</v>
      </c>
      <c r="I107" s="29">
        <v>486155.63</v>
      </c>
      <c r="J107" s="29">
        <v>486155.63</v>
      </c>
      <c r="K107" s="24">
        <v>470761.77</v>
      </c>
      <c r="L107" s="24">
        <v>470761.77</v>
      </c>
      <c r="M107" s="24">
        <v>469173.12</v>
      </c>
      <c r="N107" s="24">
        <v>469173.12</v>
      </c>
      <c r="O107" s="24"/>
      <c r="P107" s="24"/>
      <c r="Q107" s="7">
        <f t="shared" si="21"/>
        <v>2316684.9</v>
      </c>
      <c r="R107" s="7">
        <f t="shared" si="21"/>
        <v>2316684.9</v>
      </c>
      <c r="S107" s="7">
        <f t="shared" si="15"/>
        <v>316769.5500000003</v>
      </c>
    </row>
    <row r="108" spans="1:19" ht="12.75">
      <c r="A108" s="11">
        <v>691</v>
      </c>
      <c r="B108" s="12" t="s">
        <v>77</v>
      </c>
      <c r="C108" s="9">
        <v>287340</v>
      </c>
      <c r="D108" s="9">
        <v>252800</v>
      </c>
      <c r="E108" s="9">
        <v>0</v>
      </c>
      <c r="F108" s="9">
        <v>0</v>
      </c>
      <c r="G108" s="9">
        <v>0</v>
      </c>
      <c r="H108" s="9">
        <v>0</v>
      </c>
      <c r="I108" s="29">
        <v>0</v>
      </c>
      <c r="J108" s="29">
        <v>0</v>
      </c>
      <c r="K108" s="9">
        <v>0</v>
      </c>
      <c r="L108" s="9">
        <v>0</v>
      </c>
      <c r="M108" s="9">
        <v>252565.37</v>
      </c>
      <c r="N108" s="9">
        <v>210898.67</v>
      </c>
      <c r="O108" s="9"/>
      <c r="P108" s="9"/>
      <c r="Q108" s="7">
        <f t="shared" si="21"/>
        <v>252565.37</v>
      </c>
      <c r="R108" s="7">
        <f t="shared" si="21"/>
        <v>210898.67</v>
      </c>
      <c r="S108" s="7">
        <f t="shared" si="15"/>
        <v>234.63000000000466</v>
      </c>
    </row>
    <row r="109" spans="1:19" ht="12.75">
      <c r="A109" s="11">
        <v>693</v>
      </c>
      <c r="B109" s="12" t="s">
        <v>78</v>
      </c>
      <c r="C109" s="9">
        <v>31500</v>
      </c>
      <c r="D109" s="9"/>
      <c r="E109" s="9">
        <v>0</v>
      </c>
      <c r="F109" s="9">
        <v>0</v>
      </c>
      <c r="G109" s="9">
        <v>0</v>
      </c>
      <c r="H109" s="9">
        <v>0</v>
      </c>
      <c r="I109" s="29">
        <v>0</v>
      </c>
      <c r="J109" s="29">
        <v>0</v>
      </c>
      <c r="K109" s="9">
        <v>0</v>
      </c>
      <c r="L109" s="9">
        <v>0</v>
      </c>
      <c r="M109" s="9">
        <v>0</v>
      </c>
      <c r="N109" s="9">
        <v>0</v>
      </c>
      <c r="O109" s="9"/>
      <c r="P109" s="9"/>
      <c r="Q109" s="7">
        <f t="shared" si="21"/>
        <v>0</v>
      </c>
      <c r="R109" s="7">
        <f t="shared" si="21"/>
        <v>0</v>
      </c>
      <c r="S109" s="7">
        <f t="shared" si="15"/>
        <v>0</v>
      </c>
    </row>
    <row r="110" spans="1:19" ht="12.75">
      <c r="A110" s="11">
        <v>695</v>
      </c>
      <c r="B110" s="12" t="s">
        <v>79</v>
      </c>
      <c r="C110" s="9">
        <v>3188907.4</v>
      </c>
      <c r="D110" s="9">
        <v>2659404.36</v>
      </c>
      <c r="E110" s="9">
        <v>487247.36</v>
      </c>
      <c r="F110" s="9">
        <v>389774.38</v>
      </c>
      <c r="G110" s="9">
        <v>444665.83</v>
      </c>
      <c r="H110" s="9">
        <v>430759.21</v>
      </c>
      <c r="I110" s="29">
        <v>588189.4</v>
      </c>
      <c r="J110" s="29">
        <v>577856.3</v>
      </c>
      <c r="K110" s="9">
        <v>382852.18</v>
      </c>
      <c r="L110" s="9">
        <v>417019.2</v>
      </c>
      <c r="M110" s="9">
        <v>389429.96</v>
      </c>
      <c r="N110" s="9">
        <v>395878.7</v>
      </c>
      <c r="O110" s="9"/>
      <c r="P110" s="9"/>
      <c r="Q110" s="7">
        <f t="shared" si="21"/>
        <v>2292384.73</v>
      </c>
      <c r="R110" s="7">
        <f t="shared" si="21"/>
        <v>2211287.79</v>
      </c>
      <c r="S110" s="7">
        <f t="shared" si="15"/>
        <v>367019.6299999999</v>
      </c>
    </row>
    <row r="111" spans="1:19" ht="12.75">
      <c r="A111" s="11">
        <v>813</v>
      </c>
      <c r="B111" s="12" t="s">
        <v>83</v>
      </c>
      <c r="C111" s="9">
        <v>122000</v>
      </c>
      <c r="D111" s="9">
        <v>3000</v>
      </c>
      <c r="E111" s="9">
        <v>0</v>
      </c>
      <c r="F111" s="9">
        <v>0</v>
      </c>
      <c r="G111" s="9">
        <v>0</v>
      </c>
      <c r="H111" s="9">
        <v>0</v>
      </c>
      <c r="I111" s="29">
        <v>2753.36</v>
      </c>
      <c r="J111" s="29">
        <v>0</v>
      </c>
      <c r="K111" s="9">
        <v>0</v>
      </c>
      <c r="L111" s="9">
        <v>2753.36</v>
      </c>
      <c r="M111" s="9">
        <v>0</v>
      </c>
      <c r="N111" s="9">
        <v>0</v>
      </c>
      <c r="O111" s="9"/>
      <c r="P111" s="9"/>
      <c r="Q111" s="7">
        <f t="shared" si="21"/>
        <v>2753.36</v>
      </c>
      <c r="R111" s="7">
        <f t="shared" si="21"/>
        <v>2753.36</v>
      </c>
      <c r="S111" s="7">
        <f t="shared" si="15"/>
        <v>246.63999999999987</v>
      </c>
    </row>
    <row r="112" spans="1:19" ht="12.75">
      <c r="A112" s="22">
        <v>26</v>
      </c>
      <c r="B112" s="13" t="s">
        <v>18</v>
      </c>
      <c r="C112" s="7">
        <f>SUM(C113:C118)</f>
        <v>28246374.23</v>
      </c>
      <c r="D112" s="7">
        <f>SUM(D113:D118)</f>
        <v>27807799.46</v>
      </c>
      <c r="E112" s="7">
        <f aca="true" t="shared" si="22" ref="E112:P112">SUM(E113:E118)</f>
        <v>6776531.720000001</v>
      </c>
      <c r="F112" s="7">
        <f t="shared" si="22"/>
        <v>2711433.43</v>
      </c>
      <c r="G112" s="7">
        <f t="shared" si="22"/>
        <v>3516046.02</v>
      </c>
      <c r="H112" s="7">
        <f t="shared" si="22"/>
        <v>3736265.97</v>
      </c>
      <c r="I112" s="7">
        <f t="shared" si="22"/>
        <v>3609345.17</v>
      </c>
      <c r="J112" s="7">
        <f t="shared" si="22"/>
        <v>3709911.48</v>
      </c>
      <c r="K112" s="7">
        <f t="shared" si="22"/>
        <v>4092595.19</v>
      </c>
      <c r="L112" s="7">
        <f t="shared" si="22"/>
        <v>4188545.7600000002</v>
      </c>
      <c r="M112" s="7">
        <f t="shared" si="22"/>
        <v>3681616.96</v>
      </c>
      <c r="N112" s="7">
        <f t="shared" si="22"/>
        <v>4506253</v>
      </c>
      <c r="O112" s="7">
        <f t="shared" si="22"/>
        <v>0</v>
      </c>
      <c r="P112" s="7">
        <f t="shared" si="22"/>
        <v>0</v>
      </c>
      <c r="Q112" s="7">
        <f t="shared" si="21"/>
        <v>21676135.060000002</v>
      </c>
      <c r="R112" s="7">
        <f t="shared" si="21"/>
        <v>18852409.64</v>
      </c>
      <c r="S112" s="7">
        <f t="shared" si="15"/>
        <v>6131664.3999999985</v>
      </c>
    </row>
    <row r="113" spans="1:19" ht="12.75">
      <c r="A113" s="5">
        <v>122</v>
      </c>
      <c r="B113" s="8" t="s">
        <v>6</v>
      </c>
      <c r="C113" s="24">
        <v>21466574.23</v>
      </c>
      <c r="D113" s="24">
        <v>21865512.66</v>
      </c>
      <c r="E113" s="24">
        <v>5888060.38</v>
      </c>
      <c r="F113" s="24">
        <v>2670642.06</v>
      </c>
      <c r="G113" s="24">
        <v>3073077.15</v>
      </c>
      <c r="H113" s="24">
        <v>3405014.92</v>
      </c>
      <c r="I113" s="29">
        <v>3385982.79</v>
      </c>
      <c r="J113" s="29">
        <v>3344652.21</v>
      </c>
      <c r="K113" s="24">
        <v>3694730.08</v>
      </c>
      <c r="L113" s="24">
        <v>3570777.68</v>
      </c>
      <c r="M113" s="24">
        <v>3166186.74</v>
      </c>
      <c r="N113" s="24">
        <v>4199231.52</v>
      </c>
      <c r="O113" s="24"/>
      <c r="P113" s="24"/>
      <c r="Q113" s="7">
        <f t="shared" si="21"/>
        <v>19208037.14</v>
      </c>
      <c r="R113" s="7">
        <f t="shared" si="21"/>
        <v>17190318.39</v>
      </c>
      <c r="S113" s="7">
        <f t="shared" si="15"/>
        <v>2657475.5199999996</v>
      </c>
    </row>
    <row r="114" spans="1:19" ht="12.75">
      <c r="A114" s="5">
        <v>125</v>
      </c>
      <c r="B114" s="8" t="s">
        <v>35</v>
      </c>
      <c r="C114" s="24">
        <v>538520</v>
      </c>
      <c r="D114" s="24">
        <v>147520</v>
      </c>
      <c r="E114" s="24">
        <v>0</v>
      </c>
      <c r="F114" s="24">
        <v>0</v>
      </c>
      <c r="G114" s="24">
        <v>0</v>
      </c>
      <c r="H114" s="24">
        <v>0</v>
      </c>
      <c r="I114" s="29">
        <v>20000</v>
      </c>
      <c r="J114" s="29">
        <v>0</v>
      </c>
      <c r="K114" s="24">
        <v>0</v>
      </c>
      <c r="L114" s="24">
        <v>0</v>
      </c>
      <c r="M114" s="24">
        <v>0</v>
      </c>
      <c r="N114" s="24">
        <v>16788.15</v>
      </c>
      <c r="O114" s="24"/>
      <c r="P114" s="24"/>
      <c r="Q114" s="7">
        <f t="shared" si="21"/>
        <v>20000</v>
      </c>
      <c r="R114" s="7">
        <f t="shared" si="21"/>
        <v>16788.15</v>
      </c>
      <c r="S114" s="7">
        <f t="shared" si="15"/>
        <v>127520</v>
      </c>
    </row>
    <row r="115" spans="1:19" ht="12.75">
      <c r="A115" s="5">
        <v>126</v>
      </c>
      <c r="B115" s="8" t="s">
        <v>36</v>
      </c>
      <c r="C115" s="24">
        <v>100000</v>
      </c>
      <c r="D115" s="24">
        <v>70000</v>
      </c>
      <c r="E115" s="24">
        <v>1485</v>
      </c>
      <c r="F115" s="24">
        <v>0</v>
      </c>
      <c r="G115" s="24">
        <v>0</v>
      </c>
      <c r="H115" s="24">
        <v>1485</v>
      </c>
      <c r="I115" s="29">
        <v>0</v>
      </c>
      <c r="J115" s="29">
        <v>0</v>
      </c>
      <c r="K115" s="24">
        <v>0</v>
      </c>
      <c r="L115" s="24">
        <v>0</v>
      </c>
      <c r="M115" s="24">
        <v>0</v>
      </c>
      <c r="N115" s="24">
        <v>0</v>
      </c>
      <c r="O115" s="24"/>
      <c r="P115" s="24"/>
      <c r="Q115" s="7">
        <f t="shared" si="21"/>
        <v>1485</v>
      </c>
      <c r="R115" s="7">
        <f t="shared" si="21"/>
        <v>1485</v>
      </c>
      <c r="S115" s="7">
        <f t="shared" si="15"/>
        <v>68515</v>
      </c>
    </row>
    <row r="116" spans="1:19" ht="12.75">
      <c r="A116" s="5">
        <v>242</v>
      </c>
      <c r="B116" s="8" t="s">
        <v>44</v>
      </c>
      <c r="C116" s="24">
        <v>203000</v>
      </c>
      <c r="D116" s="24">
        <v>3000</v>
      </c>
      <c r="E116" s="24">
        <v>0</v>
      </c>
      <c r="F116" s="24">
        <v>0</v>
      </c>
      <c r="G116" s="24">
        <v>0</v>
      </c>
      <c r="H116" s="24">
        <v>0</v>
      </c>
      <c r="I116" s="29">
        <v>0</v>
      </c>
      <c r="J116" s="29">
        <v>0</v>
      </c>
      <c r="K116" s="24">
        <v>0</v>
      </c>
      <c r="L116" s="24">
        <v>0</v>
      </c>
      <c r="M116" s="24">
        <v>0</v>
      </c>
      <c r="N116" s="24">
        <v>0</v>
      </c>
      <c r="O116" s="24"/>
      <c r="P116" s="24"/>
      <c r="Q116" s="7">
        <f t="shared" si="21"/>
        <v>0</v>
      </c>
      <c r="R116" s="7">
        <f t="shared" si="21"/>
        <v>0</v>
      </c>
      <c r="S116" s="7">
        <f t="shared" si="15"/>
        <v>3000</v>
      </c>
    </row>
    <row r="117" spans="1:19" ht="12.75">
      <c r="A117" s="5">
        <v>451</v>
      </c>
      <c r="B117" s="8" t="s">
        <v>65</v>
      </c>
      <c r="C117" s="24">
        <v>634800</v>
      </c>
      <c r="D117" s="24">
        <v>524800</v>
      </c>
      <c r="E117" s="24">
        <v>283608.32</v>
      </c>
      <c r="F117" s="24">
        <v>0</v>
      </c>
      <c r="G117" s="24">
        <v>-7794.28</v>
      </c>
      <c r="H117" s="24">
        <v>174917.6</v>
      </c>
      <c r="I117" s="29">
        <v>44178.64</v>
      </c>
      <c r="J117" s="29">
        <v>59263.5</v>
      </c>
      <c r="K117" s="24">
        <v>50000</v>
      </c>
      <c r="L117" s="24">
        <v>41329.83</v>
      </c>
      <c r="M117" s="24">
        <v>34525.88</v>
      </c>
      <c r="N117" s="24">
        <v>44370.29</v>
      </c>
      <c r="O117" s="24"/>
      <c r="P117" s="24"/>
      <c r="Q117" s="7">
        <f t="shared" si="21"/>
        <v>404518.56</v>
      </c>
      <c r="R117" s="7">
        <f t="shared" si="21"/>
        <v>319881.22</v>
      </c>
      <c r="S117" s="7">
        <f t="shared" si="15"/>
        <v>120281.44</v>
      </c>
    </row>
    <row r="118" spans="1:19" ht="12.75">
      <c r="A118" s="11">
        <v>452</v>
      </c>
      <c r="B118" s="12" t="s">
        <v>66</v>
      </c>
      <c r="C118" s="24">
        <v>5303480</v>
      </c>
      <c r="D118" s="24">
        <v>5196966.8</v>
      </c>
      <c r="E118" s="24">
        <v>603378.02</v>
      </c>
      <c r="F118" s="24">
        <v>40791.37</v>
      </c>
      <c r="G118" s="24">
        <v>450763.15</v>
      </c>
      <c r="H118" s="24">
        <v>154848.45</v>
      </c>
      <c r="I118" s="29">
        <v>159183.74</v>
      </c>
      <c r="J118" s="29">
        <v>305995.77</v>
      </c>
      <c r="K118" s="24">
        <v>347865.11</v>
      </c>
      <c r="L118" s="24">
        <v>576438.25</v>
      </c>
      <c r="M118" s="24">
        <v>480904.34</v>
      </c>
      <c r="N118" s="24">
        <v>245863.04</v>
      </c>
      <c r="O118" s="24"/>
      <c r="P118" s="24"/>
      <c r="Q118" s="7">
        <f t="shared" si="21"/>
        <v>2042094.36</v>
      </c>
      <c r="R118" s="7">
        <f t="shared" si="21"/>
        <v>1323936.8800000001</v>
      </c>
      <c r="S118" s="7">
        <f t="shared" si="15"/>
        <v>3154872.4399999995</v>
      </c>
    </row>
    <row r="119" spans="1:19" ht="12.75">
      <c r="A119" s="22">
        <v>27</v>
      </c>
      <c r="B119" s="6" t="s">
        <v>80</v>
      </c>
      <c r="C119" s="7">
        <f>SUM(C120:C126)</f>
        <v>12073065.989999998</v>
      </c>
      <c r="D119" s="7">
        <f>SUM(D120:D126)</f>
        <v>11463180.26</v>
      </c>
      <c r="E119" s="7">
        <f aca="true" t="shared" si="23" ref="E119:P119">SUM(E120:E126)</f>
        <v>1712084.62</v>
      </c>
      <c r="F119" s="7">
        <f t="shared" si="23"/>
        <v>1567829.1500000001</v>
      </c>
      <c r="G119" s="7">
        <f t="shared" si="23"/>
        <v>1733839.8699999999</v>
      </c>
      <c r="H119" s="7">
        <f t="shared" si="23"/>
        <v>1729241.42</v>
      </c>
      <c r="I119" s="7">
        <f t="shared" si="23"/>
        <v>2478338.12</v>
      </c>
      <c r="J119" s="7">
        <f t="shared" si="23"/>
        <v>1992497.23</v>
      </c>
      <c r="K119" s="7">
        <f t="shared" si="23"/>
        <v>1785679.53</v>
      </c>
      <c r="L119" s="7">
        <f t="shared" si="23"/>
        <v>2180916.6399999997</v>
      </c>
      <c r="M119" s="7">
        <f t="shared" si="23"/>
        <v>2051294.6099999999</v>
      </c>
      <c r="N119" s="7">
        <f t="shared" si="23"/>
        <v>2090012.5499999998</v>
      </c>
      <c r="O119" s="7">
        <f t="shared" si="23"/>
        <v>0</v>
      </c>
      <c r="P119" s="7">
        <f t="shared" si="23"/>
        <v>0</v>
      </c>
      <c r="Q119" s="7">
        <f t="shared" si="21"/>
        <v>9761236.75</v>
      </c>
      <c r="R119" s="7">
        <f t="shared" si="21"/>
        <v>9560496.99</v>
      </c>
      <c r="S119" s="7">
        <f t="shared" si="15"/>
        <v>1701943.5099999998</v>
      </c>
    </row>
    <row r="120" spans="1:19" ht="12.75">
      <c r="A120" s="5">
        <v>122</v>
      </c>
      <c r="B120" s="8" t="s">
        <v>6</v>
      </c>
      <c r="C120" s="24">
        <v>8053929.38</v>
      </c>
      <c r="D120" s="24">
        <v>7816322.71</v>
      </c>
      <c r="E120" s="24">
        <v>1249319.37</v>
      </c>
      <c r="F120" s="24">
        <v>1220463.59</v>
      </c>
      <c r="G120" s="24">
        <v>1362653.94</v>
      </c>
      <c r="H120" s="24">
        <v>1350116.39</v>
      </c>
      <c r="I120" s="29">
        <v>1359371.15</v>
      </c>
      <c r="J120" s="29">
        <v>1375931.15</v>
      </c>
      <c r="K120" s="24">
        <v>1407414.81</v>
      </c>
      <c r="L120" s="24">
        <v>1407194.81</v>
      </c>
      <c r="M120" s="24">
        <v>1423033.26</v>
      </c>
      <c r="N120" s="24">
        <v>1433033.26</v>
      </c>
      <c r="O120" s="24"/>
      <c r="P120" s="24"/>
      <c r="Q120" s="7">
        <f t="shared" si="21"/>
        <v>6801792.529999999</v>
      </c>
      <c r="R120" s="7">
        <f t="shared" si="21"/>
        <v>6786739.199999999</v>
      </c>
      <c r="S120" s="7">
        <f t="shared" si="15"/>
        <v>1014530.1800000006</v>
      </c>
    </row>
    <row r="121" spans="1:19" ht="12.75">
      <c r="A121" s="5">
        <v>303</v>
      </c>
      <c r="B121" s="8" t="s">
        <v>52</v>
      </c>
      <c r="C121" s="24">
        <v>100000</v>
      </c>
      <c r="D121" s="24">
        <v>71295.16</v>
      </c>
      <c r="E121" s="24">
        <v>0</v>
      </c>
      <c r="F121" s="24">
        <v>0</v>
      </c>
      <c r="G121" s="24">
        <v>0</v>
      </c>
      <c r="H121" s="24">
        <v>0</v>
      </c>
      <c r="I121" s="29">
        <v>0</v>
      </c>
      <c r="J121" s="29">
        <v>0</v>
      </c>
      <c r="K121" s="24">
        <v>9591.96</v>
      </c>
      <c r="L121" s="24">
        <v>6881</v>
      </c>
      <c r="M121" s="24">
        <v>0</v>
      </c>
      <c r="N121" s="24">
        <v>2710.96</v>
      </c>
      <c r="O121" s="24"/>
      <c r="P121" s="24"/>
      <c r="Q121" s="7">
        <f t="shared" si="21"/>
        <v>9591.96</v>
      </c>
      <c r="R121" s="7">
        <f t="shared" si="21"/>
        <v>9591.96</v>
      </c>
      <c r="S121" s="7">
        <f t="shared" si="15"/>
        <v>61703.200000000004</v>
      </c>
    </row>
    <row r="122" spans="1:19" ht="12.75">
      <c r="A122" s="5">
        <v>451</v>
      </c>
      <c r="B122" s="8" t="s">
        <v>65</v>
      </c>
      <c r="C122" s="24">
        <v>1400000</v>
      </c>
      <c r="D122" s="24">
        <v>790122.78</v>
      </c>
      <c r="E122" s="24">
        <v>0</v>
      </c>
      <c r="F122" s="24">
        <v>0</v>
      </c>
      <c r="G122" s="24">
        <v>0</v>
      </c>
      <c r="H122" s="24">
        <v>0</v>
      </c>
      <c r="I122" s="29">
        <v>532756.27</v>
      </c>
      <c r="J122" s="29">
        <v>0</v>
      </c>
      <c r="K122" s="24">
        <v>5900</v>
      </c>
      <c r="L122" s="24">
        <v>349675.95</v>
      </c>
      <c r="M122" s="24">
        <v>14200</v>
      </c>
      <c r="N122" s="24">
        <v>31460</v>
      </c>
      <c r="O122" s="24"/>
      <c r="P122" s="24"/>
      <c r="Q122" s="7">
        <f t="shared" si="21"/>
        <v>552856.27</v>
      </c>
      <c r="R122" s="7">
        <f t="shared" si="21"/>
        <v>381135.95</v>
      </c>
      <c r="S122" s="7">
        <f t="shared" si="15"/>
        <v>237266.51</v>
      </c>
    </row>
    <row r="123" spans="1:19" ht="12.75">
      <c r="A123" s="11">
        <v>452</v>
      </c>
      <c r="B123" s="12" t="s">
        <v>66</v>
      </c>
      <c r="C123" s="24">
        <v>500000</v>
      </c>
      <c r="D123" s="24">
        <v>483400</v>
      </c>
      <c r="E123" s="24">
        <v>161970.34</v>
      </c>
      <c r="F123" s="24">
        <v>47250.99</v>
      </c>
      <c r="G123" s="24">
        <v>91840</v>
      </c>
      <c r="H123" s="24">
        <v>99098.76</v>
      </c>
      <c r="I123" s="29">
        <v>11305.85</v>
      </c>
      <c r="J123" s="29">
        <v>41661.23</v>
      </c>
      <c r="K123" s="24">
        <v>52915</v>
      </c>
      <c r="L123" s="24">
        <v>107307.12</v>
      </c>
      <c r="M123" s="24">
        <v>1405.02</v>
      </c>
      <c r="N123" s="24">
        <v>10152</v>
      </c>
      <c r="O123" s="24"/>
      <c r="P123" s="24"/>
      <c r="Q123" s="7">
        <f t="shared" si="21"/>
        <v>319436.21</v>
      </c>
      <c r="R123" s="7">
        <f t="shared" si="21"/>
        <v>305470.1</v>
      </c>
      <c r="S123" s="7">
        <f t="shared" si="15"/>
        <v>163963.78999999998</v>
      </c>
    </row>
    <row r="124" spans="1:19" ht="12.75">
      <c r="A124" s="11">
        <v>811</v>
      </c>
      <c r="B124" s="8" t="s">
        <v>81</v>
      </c>
      <c r="C124" s="9">
        <v>1698870.27</v>
      </c>
      <c r="D124" s="9">
        <v>2173090.27</v>
      </c>
      <c r="E124" s="9">
        <v>272274.2</v>
      </c>
      <c r="F124" s="9">
        <v>271777.79</v>
      </c>
      <c r="G124" s="9">
        <v>256067.8</v>
      </c>
      <c r="H124" s="9">
        <v>256564.21</v>
      </c>
      <c r="I124" s="29">
        <v>560623.26</v>
      </c>
      <c r="J124" s="29">
        <v>560623.26</v>
      </c>
      <c r="K124" s="9">
        <v>299821.34</v>
      </c>
      <c r="L124" s="9">
        <v>299821.34</v>
      </c>
      <c r="M124" s="9">
        <v>576686.91</v>
      </c>
      <c r="N124" s="9">
        <v>576686.91</v>
      </c>
      <c r="O124" s="9"/>
      <c r="P124" s="9"/>
      <c r="Q124" s="7">
        <f t="shared" si="21"/>
        <v>1965473.5100000002</v>
      </c>
      <c r="R124" s="7">
        <f t="shared" si="21"/>
        <v>1965473.5100000002</v>
      </c>
      <c r="S124" s="7">
        <f t="shared" si="15"/>
        <v>207616.75999999978</v>
      </c>
    </row>
    <row r="125" spans="1:19" ht="12.75">
      <c r="A125" s="11">
        <v>812</v>
      </c>
      <c r="B125" s="8" t="s">
        <v>82</v>
      </c>
      <c r="C125" s="9">
        <v>312631.34</v>
      </c>
      <c r="D125" s="9">
        <v>128949.34</v>
      </c>
      <c r="E125" s="9">
        <v>28520.71</v>
      </c>
      <c r="F125" s="9">
        <v>28336.78</v>
      </c>
      <c r="G125" s="9">
        <v>23278.13</v>
      </c>
      <c r="H125" s="9">
        <v>23462.06</v>
      </c>
      <c r="I125" s="29">
        <v>14281.59</v>
      </c>
      <c r="J125" s="29">
        <v>14281.59</v>
      </c>
      <c r="K125" s="9">
        <v>10036.42</v>
      </c>
      <c r="L125" s="9">
        <v>10036.42</v>
      </c>
      <c r="M125" s="9">
        <v>35969.42</v>
      </c>
      <c r="N125" s="9">
        <v>35969.42</v>
      </c>
      <c r="O125" s="9"/>
      <c r="P125" s="9"/>
      <c r="Q125" s="7">
        <f t="shared" si="21"/>
        <v>112086.26999999999</v>
      </c>
      <c r="R125" s="7">
        <f t="shared" si="21"/>
        <v>112086.26999999999</v>
      </c>
      <c r="S125" s="7">
        <f t="shared" si="15"/>
        <v>16863.070000000007</v>
      </c>
    </row>
    <row r="126" spans="1:19" ht="12.75">
      <c r="A126" s="11">
        <v>813</v>
      </c>
      <c r="B126" s="8" t="s">
        <v>83</v>
      </c>
      <c r="C126" s="9">
        <v>7635</v>
      </c>
      <c r="D126" s="9"/>
      <c r="E126" s="9">
        <v>0</v>
      </c>
      <c r="F126" s="9">
        <v>0</v>
      </c>
      <c r="G126" s="9">
        <v>0</v>
      </c>
      <c r="H126" s="9">
        <v>0</v>
      </c>
      <c r="I126" s="29">
        <v>0</v>
      </c>
      <c r="J126" s="29">
        <v>0</v>
      </c>
      <c r="K126" s="9">
        <v>0</v>
      </c>
      <c r="L126" s="9">
        <v>0</v>
      </c>
      <c r="M126" s="9">
        <v>0</v>
      </c>
      <c r="N126" s="9">
        <v>0</v>
      </c>
      <c r="O126" s="9"/>
      <c r="P126" s="9"/>
      <c r="Q126" s="7">
        <f t="shared" si="21"/>
        <v>0</v>
      </c>
      <c r="R126" s="7">
        <f t="shared" si="21"/>
        <v>0</v>
      </c>
      <c r="S126" s="7">
        <f t="shared" si="15"/>
        <v>0</v>
      </c>
    </row>
    <row r="127" spans="1:19" ht="12.75">
      <c r="A127" s="22">
        <v>28</v>
      </c>
      <c r="B127" s="6" t="s">
        <v>84</v>
      </c>
      <c r="C127" s="7">
        <f>SUM(C128:C130)</f>
        <v>37025698.489999995</v>
      </c>
      <c r="D127" s="7">
        <f>SUM(D128:D130)</f>
        <v>33761839.23</v>
      </c>
      <c r="E127" s="7">
        <f aca="true" t="shared" si="24" ref="E127:P127">SUM(E128:E130)</f>
        <v>11273205.07</v>
      </c>
      <c r="F127" s="7">
        <f t="shared" si="24"/>
        <v>9509947.59</v>
      </c>
      <c r="G127" s="7">
        <f t="shared" si="24"/>
        <v>3865626.8000000003</v>
      </c>
      <c r="H127" s="7">
        <f t="shared" si="24"/>
        <v>3957774.37</v>
      </c>
      <c r="I127" s="7">
        <f t="shared" si="24"/>
        <v>9025200.75</v>
      </c>
      <c r="J127" s="7">
        <f t="shared" si="24"/>
        <v>9529852.73</v>
      </c>
      <c r="K127" s="7">
        <f t="shared" si="24"/>
        <v>3928857.46</v>
      </c>
      <c r="L127" s="7">
        <f t="shared" si="24"/>
        <v>4015001.9000000004</v>
      </c>
      <c r="M127" s="7">
        <f t="shared" si="24"/>
        <v>2450406.13</v>
      </c>
      <c r="N127" s="7">
        <f t="shared" si="24"/>
        <v>2535648.15</v>
      </c>
      <c r="O127" s="7">
        <f t="shared" si="24"/>
        <v>0</v>
      </c>
      <c r="P127" s="7">
        <f t="shared" si="24"/>
        <v>0</v>
      </c>
      <c r="Q127" s="7">
        <f t="shared" si="21"/>
        <v>30543296.21</v>
      </c>
      <c r="R127" s="7">
        <f t="shared" si="21"/>
        <v>29548224.740000002</v>
      </c>
      <c r="S127" s="7">
        <f t="shared" si="15"/>
        <v>3218543.019999996</v>
      </c>
    </row>
    <row r="128" spans="1:19" ht="12.75">
      <c r="A128" s="11">
        <v>841</v>
      </c>
      <c r="B128" s="8" t="s">
        <v>85</v>
      </c>
      <c r="C128" s="9">
        <v>4247408</v>
      </c>
      <c r="D128" s="9">
        <v>5257408</v>
      </c>
      <c r="E128" s="9">
        <v>836329.61</v>
      </c>
      <c r="F128" s="9">
        <v>836329.61</v>
      </c>
      <c r="G128" s="9">
        <v>850103.62</v>
      </c>
      <c r="H128" s="9">
        <v>850103.62</v>
      </c>
      <c r="I128" s="29">
        <v>1613098.19</v>
      </c>
      <c r="J128" s="29">
        <v>1613098.19</v>
      </c>
      <c r="K128" s="9">
        <v>894318.6</v>
      </c>
      <c r="L128" s="9">
        <v>894318.6</v>
      </c>
      <c r="M128" s="9">
        <v>955585.59</v>
      </c>
      <c r="N128" s="9">
        <v>955585.59</v>
      </c>
      <c r="O128" s="9"/>
      <c r="P128" s="9"/>
      <c r="Q128" s="7">
        <f t="shared" si="21"/>
        <v>5149435.61</v>
      </c>
      <c r="R128" s="7">
        <f t="shared" si="21"/>
        <v>5149435.61</v>
      </c>
      <c r="S128" s="7">
        <f t="shared" si="15"/>
        <v>107972.38999999966</v>
      </c>
    </row>
    <row r="129" spans="1:19" ht="12.75">
      <c r="A129" s="11">
        <v>843</v>
      </c>
      <c r="B129" s="8" t="s">
        <v>86</v>
      </c>
      <c r="C129" s="9">
        <f>15531743+210</f>
        <v>15531953</v>
      </c>
      <c r="D129" s="9">
        <f>6336383.74+210</f>
        <v>6336593.74</v>
      </c>
      <c r="E129" s="9">
        <v>1714618.43</v>
      </c>
      <c r="F129" s="9">
        <v>1171342.07</v>
      </c>
      <c r="G129" s="9">
        <v>846085.02</v>
      </c>
      <c r="H129" s="9">
        <v>933860.41</v>
      </c>
      <c r="I129" s="29">
        <f>1410360</f>
        <v>1410360</v>
      </c>
      <c r="J129" s="29">
        <v>1497182.2</v>
      </c>
      <c r="K129" s="9">
        <v>1113960.57</v>
      </c>
      <c r="L129" s="9">
        <v>1200105.01</v>
      </c>
      <c r="M129" s="9">
        <v>1158158.56</v>
      </c>
      <c r="N129" s="9">
        <v>1243400.58</v>
      </c>
      <c r="O129" s="9"/>
      <c r="P129" s="9"/>
      <c r="Q129" s="7">
        <f t="shared" si="21"/>
        <v>6243182.58</v>
      </c>
      <c r="R129" s="7">
        <f t="shared" si="21"/>
        <v>6045890.27</v>
      </c>
      <c r="S129" s="7">
        <f t="shared" si="15"/>
        <v>93411.16000000015</v>
      </c>
    </row>
    <row r="130" spans="1:19" ht="12.75">
      <c r="A130" s="11">
        <v>846</v>
      </c>
      <c r="B130" s="8" t="s">
        <v>87</v>
      </c>
      <c r="C130" s="9">
        <f>16826337.49-50000-100000-100000+420000+250000</f>
        <v>17246337.49</v>
      </c>
      <c r="D130" s="9">
        <f>21347837.49-400000+400000+820000</f>
        <v>22167837.49</v>
      </c>
      <c r="E130" s="9">
        <f>8335398.97-41666.66+417829.78+10694.94</f>
        <v>8722257.03</v>
      </c>
      <c r="F130" s="9">
        <f>7543942.57-41666.66</f>
        <v>7502275.91</v>
      </c>
      <c r="G130" s="9">
        <f>-41666.66+11422.07+2199682.75</f>
        <v>2169438.16</v>
      </c>
      <c r="H130" s="9">
        <f>-41666.66+11422.07+2204054.93</f>
        <v>2173810.3400000003</v>
      </c>
      <c r="I130" s="29">
        <f>5899130.98+132887.72-8333.34-16666.68-16666.68+11390.56</f>
        <v>6001742.5600000005</v>
      </c>
      <c r="J130" s="29">
        <f>5899130.98+550717.5-8333.34-16666.68-16666.68+11390.56</f>
        <v>6419572.340000001</v>
      </c>
      <c r="K130" s="9">
        <f>1912785.09-41666.64+49459.84</f>
        <v>1920578.2900000003</v>
      </c>
      <c r="L130" s="9">
        <f>1912785.09-41666.64+49459.84</f>
        <v>1920578.2900000003</v>
      </c>
      <c r="M130" s="9">
        <f>394351.49-116666.67+58977.16</f>
        <v>336661.98</v>
      </c>
      <c r="N130" s="9">
        <f>394351.49-116666.67+58977.16</f>
        <v>336661.98</v>
      </c>
      <c r="O130" s="9"/>
      <c r="P130" s="9"/>
      <c r="Q130" s="7">
        <f t="shared" si="21"/>
        <v>19150678.02</v>
      </c>
      <c r="R130" s="7">
        <f t="shared" si="21"/>
        <v>18352898.86</v>
      </c>
      <c r="S130" s="7">
        <f t="shared" si="15"/>
        <v>3017159.469999999</v>
      </c>
    </row>
    <row r="131" spans="1:19" ht="12.75">
      <c r="A131" s="14"/>
      <c r="B131" s="19" t="s">
        <v>19</v>
      </c>
      <c r="C131" s="20">
        <f aca="true" t="shared" si="25" ref="C131:S131">C127+C119+C112+C99+C96+C92+C90+C85+C80+C78+C73+C65+C57+C49+C45+C35+C29+C27+C18+C15</f>
        <v>853111854.8</v>
      </c>
      <c r="D131" s="20">
        <f t="shared" si="25"/>
        <v>904667433.6999999</v>
      </c>
      <c r="E131" s="20">
        <f t="shared" si="25"/>
        <v>208736330.76000002</v>
      </c>
      <c r="F131" s="20">
        <f t="shared" si="25"/>
        <v>89145520.24000001</v>
      </c>
      <c r="G131" s="20">
        <f t="shared" si="25"/>
        <v>107009360.5</v>
      </c>
      <c r="H131" s="20">
        <f t="shared" si="25"/>
        <v>109468904.44000001</v>
      </c>
      <c r="I131" s="20">
        <f t="shared" si="25"/>
        <v>167224467.35000002</v>
      </c>
      <c r="J131" s="20">
        <f t="shared" si="25"/>
        <v>118979370.31</v>
      </c>
      <c r="K131" s="20">
        <f t="shared" si="25"/>
        <v>107753568.75</v>
      </c>
      <c r="L131" s="20">
        <f t="shared" si="25"/>
        <v>133698599.33</v>
      </c>
      <c r="M131" s="20">
        <f t="shared" si="25"/>
        <v>115198151.67</v>
      </c>
      <c r="N131" s="20">
        <f t="shared" si="25"/>
        <v>146950957.12</v>
      </c>
      <c r="O131" s="20">
        <f t="shared" si="25"/>
        <v>0</v>
      </c>
      <c r="P131" s="20">
        <f t="shared" si="25"/>
        <v>0</v>
      </c>
      <c r="Q131" s="20">
        <f t="shared" si="25"/>
        <v>705921879.03</v>
      </c>
      <c r="R131" s="20">
        <f t="shared" si="25"/>
        <v>598243351.4399999</v>
      </c>
      <c r="S131" s="20">
        <f t="shared" si="25"/>
        <v>198745554.67</v>
      </c>
    </row>
    <row r="132" spans="1:19" ht="12.75">
      <c r="A132" s="15"/>
      <c r="B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8"/>
      <c r="P132" s="18"/>
      <c r="Q132" s="18"/>
      <c r="R132" s="18"/>
      <c r="S132" s="18"/>
    </row>
  </sheetData>
  <sheetProtection password="CC7C" sheet="1" objects="1" scenarios="1"/>
  <mergeCells count="12">
    <mergeCell ref="E12:F12"/>
    <mergeCell ref="G12:H12"/>
    <mergeCell ref="A3:S3"/>
    <mergeCell ref="A4:S4"/>
    <mergeCell ref="A6:S6"/>
    <mergeCell ref="Q12:S12"/>
    <mergeCell ref="A12:A13"/>
    <mergeCell ref="I12:J12"/>
    <mergeCell ref="K12:L12"/>
    <mergeCell ref="M12:N12"/>
    <mergeCell ref="O12:P12"/>
    <mergeCell ref="C12:D12"/>
  </mergeCells>
  <printOptions/>
  <pageMargins left="0.65" right="0.34" top="0.31" bottom="0.75" header="0.19" footer="0.492125985"/>
  <pageSetup horizontalDpi="300" verticalDpi="300" orientation="portrait" scale="60" r:id="rId2"/>
  <headerFooter alignWithMargins="0">
    <oddFooter>&amp;CPágina &amp;P de &amp;N</oddFooter>
  </headerFooter>
  <rowBreaks count="1" manualBreakCount="1">
    <brk id="89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</dc:creator>
  <cp:keywords/>
  <dc:description/>
  <cp:lastModifiedBy>dpd</cp:lastModifiedBy>
  <cp:lastPrinted>2002-11-25T12:15:01Z</cp:lastPrinted>
  <dcterms:created xsi:type="dcterms:W3CDTF">2000-09-26T11:51:49Z</dcterms:created>
  <dcterms:modified xsi:type="dcterms:W3CDTF">2002-11-27T15:18:27Z</dcterms:modified>
  <cp:category/>
  <cp:version/>
  <cp:contentType/>
  <cp:contentStatus/>
</cp:coreProperties>
</file>